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omeckaak-my.sharepoint.com/personal/tomecka_aktomecka_cz/Documents/EXTRA DISK/K/Slezská univerzita/9_ZPR_Zastřešení atria Bezruč nám 14/00_Na Profil/"/>
    </mc:Choice>
  </mc:AlternateContent>
  <xr:revisionPtr revIDLastSave="30" documentId="8_{A7570DFB-F109-422D-B4B5-4F1E5CB9C500}" xr6:coauthVersionLast="47" xr6:coauthVersionMax="47" xr10:uidLastSave="{6946B34E-048C-438E-90D5-588D3B96DE7D}"/>
  <bookViews>
    <workbookView xWindow="28680" yWindow="-120" windowWidth="29040" windowHeight="15720" xr2:uid="{00000000-000D-0000-FFFF-FFFF00000000}"/>
  </bookViews>
  <sheets>
    <sheet name="Krycí list rozpočtu" sheetId="3" r:id="rId1"/>
    <sheet name="Rozpočet - podskupiny" sheetId="2" r:id="rId2"/>
    <sheet name="Stavební rozpočet" sheetId="1" r:id="rId3"/>
    <sheet name="VORN" sheetId="4" state="hidden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4" l="1"/>
  <c r="I35" i="4"/>
  <c r="I26" i="4"/>
  <c r="I25" i="4"/>
  <c r="I24" i="4"/>
  <c r="I23" i="4"/>
  <c r="I22" i="4"/>
  <c r="I21" i="4"/>
  <c r="I17" i="4"/>
  <c r="I16" i="4"/>
  <c r="I15" i="4"/>
  <c r="I10" i="4"/>
  <c r="F10" i="4"/>
  <c r="C10" i="4"/>
  <c r="F8" i="4"/>
  <c r="C8" i="4"/>
  <c r="F6" i="4"/>
  <c r="C6" i="4"/>
  <c r="F4" i="4"/>
  <c r="C4" i="4"/>
  <c r="F2" i="4"/>
  <c r="C2" i="4"/>
  <c r="I24" i="3"/>
  <c r="I19" i="3"/>
  <c r="I18" i="3"/>
  <c r="I17" i="3"/>
  <c r="I15" i="3"/>
  <c r="F15" i="3"/>
  <c r="I14" i="3"/>
  <c r="F14" i="3"/>
  <c r="I10" i="3"/>
  <c r="F10" i="3"/>
  <c r="C10" i="3"/>
  <c r="F8" i="3"/>
  <c r="C6" i="3"/>
  <c r="C4" i="3"/>
  <c r="C2" i="3"/>
  <c r="P56" i="2"/>
  <c r="P55" i="2"/>
  <c r="P54" i="2"/>
  <c r="P53" i="2"/>
  <c r="P52" i="2"/>
  <c r="P51" i="2"/>
  <c r="P49" i="2"/>
  <c r="P48" i="2"/>
  <c r="P47" i="2"/>
  <c r="P45" i="2"/>
  <c r="P44" i="2"/>
  <c r="P43" i="2"/>
  <c r="P41" i="2"/>
  <c r="P40" i="2"/>
  <c r="P39" i="2"/>
  <c r="P37" i="2"/>
  <c r="P36" i="2"/>
  <c r="P35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J8" i="2"/>
  <c r="H8" i="2"/>
  <c r="D8" i="2"/>
  <c r="H6" i="2"/>
  <c r="D6" i="2"/>
  <c r="H4" i="2"/>
  <c r="D4" i="2"/>
  <c r="H2" i="2"/>
  <c r="D2" i="2"/>
  <c r="BJ472" i="1"/>
  <c r="BF472" i="1"/>
  <c r="BD472" i="1"/>
  <c r="AP472" i="1"/>
  <c r="BI472" i="1" s="1"/>
  <c r="AC472" i="1" s="1"/>
  <c r="AO472" i="1"/>
  <c r="AK472" i="1"/>
  <c r="AJ472" i="1"/>
  <c r="AH472" i="1"/>
  <c r="AG472" i="1"/>
  <c r="AF472" i="1"/>
  <c r="AE472" i="1"/>
  <c r="AD472" i="1"/>
  <c r="Z472" i="1"/>
  <c r="J472" i="1"/>
  <c r="AL472" i="1" s="1"/>
  <c r="BJ471" i="1"/>
  <c r="BF471" i="1"/>
  <c r="BD471" i="1"/>
  <c r="AP471" i="1"/>
  <c r="I471" i="1" s="1"/>
  <c r="AO471" i="1"/>
  <c r="BH471" i="1" s="1"/>
  <c r="AB471" i="1" s="1"/>
  <c r="AK471" i="1"/>
  <c r="AJ471" i="1"/>
  <c r="AH471" i="1"/>
  <c r="AG471" i="1"/>
  <c r="AF471" i="1"/>
  <c r="AE471" i="1"/>
  <c r="AD471" i="1"/>
  <c r="Z471" i="1"/>
  <c r="J471" i="1"/>
  <c r="AL471" i="1" s="1"/>
  <c r="AU470" i="1" s="1"/>
  <c r="BJ469" i="1"/>
  <c r="BF469" i="1"/>
  <c r="BD469" i="1"/>
  <c r="AP469" i="1"/>
  <c r="BI469" i="1" s="1"/>
  <c r="AC469" i="1" s="1"/>
  <c r="AO469" i="1"/>
  <c r="AK469" i="1"/>
  <c r="AJ469" i="1"/>
  <c r="AH469" i="1"/>
  <c r="AG469" i="1"/>
  <c r="AF469" i="1"/>
  <c r="AE469" i="1"/>
  <c r="AD469" i="1"/>
  <c r="Z469" i="1"/>
  <c r="J469" i="1"/>
  <c r="AL469" i="1" s="1"/>
  <c r="H469" i="1"/>
  <c r="BJ468" i="1"/>
  <c r="BF468" i="1"/>
  <c r="BD468" i="1"/>
  <c r="AP468" i="1"/>
  <c r="BI468" i="1" s="1"/>
  <c r="AO468" i="1"/>
  <c r="AL468" i="1"/>
  <c r="AK468" i="1"/>
  <c r="AJ468" i="1"/>
  <c r="AH468" i="1"/>
  <c r="AG468" i="1"/>
  <c r="AF468" i="1"/>
  <c r="AE468" i="1"/>
  <c r="AD468" i="1"/>
  <c r="AC468" i="1"/>
  <c r="Z468" i="1"/>
  <c r="J468" i="1"/>
  <c r="H468" i="1"/>
  <c r="BJ467" i="1"/>
  <c r="BF467" i="1"/>
  <c r="BD467" i="1"/>
  <c r="AP467" i="1"/>
  <c r="AO467" i="1"/>
  <c r="AK467" i="1"/>
  <c r="AJ467" i="1"/>
  <c r="AH467" i="1"/>
  <c r="AG467" i="1"/>
  <c r="AF467" i="1"/>
  <c r="AE467" i="1"/>
  <c r="AD467" i="1"/>
  <c r="Z467" i="1"/>
  <c r="J467" i="1"/>
  <c r="AL467" i="1" s="1"/>
  <c r="BJ466" i="1"/>
  <c r="BF466" i="1"/>
  <c r="BD466" i="1"/>
  <c r="AP466" i="1"/>
  <c r="AO466" i="1"/>
  <c r="BH466" i="1" s="1"/>
  <c r="AB466" i="1" s="1"/>
  <c r="AK466" i="1"/>
  <c r="AJ466" i="1"/>
  <c r="AH466" i="1"/>
  <c r="AG466" i="1"/>
  <c r="AF466" i="1"/>
  <c r="AE466" i="1"/>
  <c r="AD466" i="1"/>
  <c r="Z466" i="1"/>
  <c r="J466" i="1"/>
  <c r="AL466" i="1" s="1"/>
  <c r="BJ465" i="1"/>
  <c r="BF465" i="1"/>
  <c r="BD465" i="1"/>
  <c r="AP465" i="1"/>
  <c r="BI465" i="1" s="1"/>
  <c r="AC465" i="1" s="1"/>
  <c r="AO465" i="1"/>
  <c r="BH465" i="1" s="1"/>
  <c r="AK465" i="1"/>
  <c r="AJ465" i="1"/>
  <c r="AH465" i="1"/>
  <c r="AG465" i="1"/>
  <c r="AF465" i="1"/>
  <c r="AE465" i="1"/>
  <c r="AD465" i="1"/>
  <c r="AB465" i="1"/>
  <c r="Z465" i="1"/>
  <c r="J465" i="1"/>
  <c r="AL465" i="1" s="1"/>
  <c r="H465" i="1"/>
  <c r="BJ464" i="1"/>
  <c r="BF464" i="1"/>
  <c r="BD464" i="1"/>
  <c r="AP464" i="1"/>
  <c r="BI464" i="1" s="1"/>
  <c r="AC464" i="1" s="1"/>
  <c r="AO464" i="1"/>
  <c r="AK464" i="1"/>
  <c r="AJ464" i="1"/>
  <c r="AH464" i="1"/>
  <c r="AG464" i="1"/>
  <c r="AF464" i="1"/>
  <c r="AE464" i="1"/>
  <c r="AD464" i="1"/>
  <c r="Z464" i="1"/>
  <c r="J464" i="1"/>
  <c r="AL464" i="1" s="1"/>
  <c r="BJ463" i="1"/>
  <c r="BF463" i="1"/>
  <c r="BD463" i="1"/>
  <c r="AP463" i="1"/>
  <c r="AX463" i="1" s="1"/>
  <c r="AO463" i="1"/>
  <c r="H463" i="1" s="1"/>
  <c r="AK463" i="1"/>
  <c r="AJ463" i="1"/>
  <c r="AH463" i="1"/>
  <c r="AG463" i="1"/>
  <c r="AF463" i="1"/>
  <c r="AE463" i="1"/>
  <c r="AD463" i="1"/>
  <c r="Z463" i="1"/>
  <c r="J463" i="1"/>
  <c r="AL463" i="1" s="1"/>
  <c r="BJ462" i="1"/>
  <c r="BF462" i="1"/>
  <c r="BD462" i="1"/>
  <c r="AP462" i="1"/>
  <c r="I462" i="1" s="1"/>
  <c r="AO462" i="1"/>
  <c r="AK462" i="1"/>
  <c r="AJ462" i="1"/>
  <c r="AH462" i="1"/>
  <c r="AG462" i="1"/>
  <c r="AF462" i="1"/>
  <c r="AE462" i="1"/>
  <c r="AD462" i="1"/>
  <c r="Z462" i="1"/>
  <c r="J462" i="1"/>
  <c r="AL462" i="1" s="1"/>
  <c r="BJ461" i="1"/>
  <c r="BF461" i="1"/>
  <c r="BD461" i="1"/>
  <c r="AP461" i="1"/>
  <c r="AO461" i="1"/>
  <c r="BH461" i="1" s="1"/>
  <c r="AB461" i="1" s="1"/>
  <c r="AK461" i="1"/>
  <c r="AJ461" i="1"/>
  <c r="AH461" i="1"/>
  <c r="AG461" i="1"/>
  <c r="AF461" i="1"/>
  <c r="AE461" i="1"/>
  <c r="AD461" i="1"/>
  <c r="Z461" i="1"/>
  <c r="J461" i="1"/>
  <c r="AL461" i="1" s="1"/>
  <c r="BJ460" i="1"/>
  <c r="BF460" i="1"/>
  <c r="BD460" i="1"/>
  <c r="AP460" i="1"/>
  <c r="AO460" i="1"/>
  <c r="BH460" i="1" s="1"/>
  <c r="AB460" i="1" s="1"/>
  <c r="AK460" i="1"/>
  <c r="AJ460" i="1"/>
  <c r="AH460" i="1"/>
  <c r="AG460" i="1"/>
  <c r="AF460" i="1"/>
  <c r="AE460" i="1"/>
  <c r="AD460" i="1"/>
  <c r="Z460" i="1"/>
  <c r="J460" i="1"/>
  <c r="AL460" i="1" s="1"/>
  <c r="BJ459" i="1"/>
  <c r="BF459" i="1"/>
  <c r="BD459" i="1"/>
  <c r="AP459" i="1"/>
  <c r="BI459" i="1" s="1"/>
  <c r="AC459" i="1" s="1"/>
  <c r="AO459" i="1"/>
  <c r="H459" i="1" s="1"/>
  <c r="AK459" i="1"/>
  <c r="AJ459" i="1"/>
  <c r="AH459" i="1"/>
  <c r="AG459" i="1"/>
  <c r="AF459" i="1"/>
  <c r="AE459" i="1"/>
  <c r="AD459" i="1"/>
  <c r="Z459" i="1"/>
  <c r="J459" i="1"/>
  <c r="AL459" i="1" s="1"/>
  <c r="BJ458" i="1"/>
  <c r="BF458" i="1"/>
  <c r="BD458" i="1"/>
  <c r="AP458" i="1"/>
  <c r="AO458" i="1"/>
  <c r="BH458" i="1" s="1"/>
  <c r="AB458" i="1" s="1"/>
  <c r="AK458" i="1"/>
  <c r="AJ458" i="1"/>
  <c r="AH458" i="1"/>
  <c r="AG458" i="1"/>
  <c r="AF458" i="1"/>
  <c r="AE458" i="1"/>
  <c r="AD458" i="1"/>
  <c r="Z458" i="1"/>
  <c r="J458" i="1"/>
  <c r="AL458" i="1" s="1"/>
  <c r="BJ457" i="1"/>
  <c r="BF457" i="1"/>
  <c r="BD457" i="1"/>
  <c r="AP457" i="1"/>
  <c r="BI457" i="1" s="1"/>
  <c r="AC457" i="1" s="1"/>
  <c r="AO457" i="1"/>
  <c r="AK457" i="1"/>
  <c r="AJ457" i="1"/>
  <c r="AH457" i="1"/>
  <c r="AG457" i="1"/>
  <c r="AF457" i="1"/>
  <c r="AE457" i="1"/>
  <c r="AD457" i="1"/>
  <c r="Z457" i="1"/>
  <c r="J457" i="1"/>
  <c r="AL457" i="1" s="1"/>
  <c r="I457" i="1"/>
  <c r="BJ456" i="1"/>
  <c r="BF456" i="1"/>
  <c r="BD456" i="1"/>
  <c r="AP456" i="1"/>
  <c r="AO456" i="1"/>
  <c r="BH456" i="1" s="1"/>
  <c r="AB456" i="1" s="1"/>
  <c r="AK456" i="1"/>
  <c r="AJ456" i="1"/>
  <c r="AH456" i="1"/>
  <c r="AG456" i="1"/>
  <c r="AF456" i="1"/>
  <c r="AE456" i="1"/>
  <c r="AD456" i="1"/>
  <c r="Z456" i="1"/>
  <c r="J456" i="1"/>
  <c r="AL456" i="1" s="1"/>
  <c r="BJ455" i="1"/>
  <c r="BI455" i="1"/>
  <c r="AC455" i="1" s="1"/>
  <c r="BF455" i="1"/>
  <c r="BD455" i="1"/>
  <c r="AP455" i="1"/>
  <c r="AO455" i="1"/>
  <c r="AK455" i="1"/>
  <c r="AJ455" i="1"/>
  <c r="AH455" i="1"/>
  <c r="AG455" i="1"/>
  <c r="AF455" i="1"/>
  <c r="AE455" i="1"/>
  <c r="AD455" i="1"/>
  <c r="Z455" i="1"/>
  <c r="J455" i="1"/>
  <c r="AL455" i="1" s="1"/>
  <c r="BJ454" i="1"/>
  <c r="BF454" i="1"/>
  <c r="BD454" i="1"/>
  <c r="AP454" i="1"/>
  <c r="BI454" i="1" s="1"/>
  <c r="AC454" i="1" s="1"/>
  <c r="AO454" i="1"/>
  <c r="H454" i="1" s="1"/>
  <c r="AK454" i="1"/>
  <c r="AJ454" i="1"/>
  <c r="AH454" i="1"/>
  <c r="AG454" i="1"/>
  <c r="AF454" i="1"/>
  <c r="AE454" i="1"/>
  <c r="AD454" i="1"/>
  <c r="Z454" i="1"/>
  <c r="J454" i="1"/>
  <c r="AL454" i="1" s="1"/>
  <c r="I454" i="1"/>
  <c r="BJ453" i="1"/>
  <c r="BF453" i="1"/>
  <c r="BD453" i="1"/>
  <c r="AX453" i="1"/>
  <c r="AP453" i="1"/>
  <c r="BI453" i="1" s="1"/>
  <c r="AC453" i="1" s="1"/>
  <c r="AO453" i="1"/>
  <c r="AK453" i="1"/>
  <c r="AJ453" i="1"/>
  <c r="AH453" i="1"/>
  <c r="AG453" i="1"/>
  <c r="AF453" i="1"/>
  <c r="AE453" i="1"/>
  <c r="AD453" i="1"/>
  <c r="Z453" i="1"/>
  <c r="J453" i="1"/>
  <c r="AL453" i="1" s="1"/>
  <c r="BJ452" i="1"/>
  <c r="BF452" i="1"/>
  <c r="BD452" i="1"/>
  <c r="AP452" i="1"/>
  <c r="I452" i="1" s="1"/>
  <c r="AO452" i="1"/>
  <c r="BH452" i="1" s="1"/>
  <c r="AB452" i="1" s="1"/>
  <c r="AK452" i="1"/>
  <c r="AJ452" i="1"/>
  <c r="AH452" i="1"/>
  <c r="AG452" i="1"/>
  <c r="AF452" i="1"/>
  <c r="AE452" i="1"/>
  <c r="AD452" i="1"/>
  <c r="Z452" i="1"/>
  <c r="J452" i="1"/>
  <c r="AL452" i="1" s="1"/>
  <c r="BJ451" i="1"/>
  <c r="BF451" i="1"/>
  <c r="BD451" i="1"/>
  <c r="AP451" i="1"/>
  <c r="BI451" i="1" s="1"/>
  <c r="AC451" i="1" s="1"/>
  <c r="AO451" i="1"/>
  <c r="BH451" i="1" s="1"/>
  <c r="AB451" i="1" s="1"/>
  <c r="AK451" i="1"/>
  <c r="AJ451" i="1"/>
  <c r="AH451" i="1"/>
  <c r="AG451" i="1"/>
  <c r="AF451" i="1"/>
  <c r="AE451" i="1"/>
  <c r="AD451" i="1"/>
  <c r="Z451" i="1"/>
  <c r="J451" i="1"/>
  <c r="AL451" i="1" s="1"/>
  <c r="BJ450" i="1"/>
  <c r="BF450" i="1"/>
  <c r="BD450" i="1"/>
  <c r="AP450" i="1"/>
  <c r="AO450" i="1"/>
  <c r="BH450" i="1" s="1"/>
  <c r="AK450" i="1"/>
  <c r="AJ450" i="1"/>
  <c r="AH450" i="1"/>
  <c r="AG450" i="1"/>
  <c r="AF450" i="1"/>
  <c r="AE450" i="1"/>
  <c r="AD450" i="1"/>
  <c r="AB450" i="1"/>
  <c r="Z450" i="1"/>
  <c r="J450" i="1"/>
  <c r="AL450" i="1" s="1"/>
  <c r="BJ449" i="1"/>
  <c r="BF449" i="1"/>
  <c r="BD449" i="1"/>
  <c r="AP449" i="1"/>
  <c r="AO449" i="1"/>
  <c r="H449" i="1" s="1"/>
  <c r="AK449" i="1"/>
  <c r="AJ449" i="1"/>
  <c r="AH449" i="1"/>
  <c r="AG449" i="1"/>
  <c r="AF449" i="1"/>
  <c r="AE449" i="1"/>
  <c r="AD449" i="1"/>
  <c r="Z449" i="1"/>
  <c r="J449" i="1"/>
  <c r="AL449" i="1" s="1"/>
  <c r="BJ448" i="1"/>
  <c r="BF448" i="1"/>
  <c r="BD448" i="1"/>
  <c r="AP448" i="1"/>
  <c r="AO448" i="1"/>
  <c r="BH448" i="1" s="1"/>
  <c r="AB448" i="1" s="1"/>
  <c r="AK448" i="1"/>
  <c r="AJ448" i="1"/>
  <c r="AH448" i="1"/>
  <c r="AG448" i="1"/>
  <c r="AF448" i="1"/>
  <c r="AE448" i="1"/>
  <c r="AD448" i="1"/>
  <c r="Z448" i="1"/>
  <c r="J448" i="1"/>
  <c r="AL448" i="1" s="1"/>
  <c r="BJ447" i="1"/>
  <c r="BF447" i="1"/>
  <c r="BD447" i="1"/>
  <c r="AP447" i="1"/>
  <c r="AO447" i="1"/>
  <c r="BH447" i="1" s="1"/>
  <c r="AB447" i="1" s="1"/>
  <c r="AK447" i="1"/>
  <c r="AJ447" i="1"/>
  <c r="AH447" i="1"/>
  <c r="AG447" i="1"/>
  <c r="AF447" i="1"/>
  <c r="AE447" i="1"/>
  <c r="AD447" i="1"/>
  <c r="Z447" i="1"/>
  <c r="J447" i="1"/>
  <c r="AL447" i="1" s="1"/>
  <c r="BJ446" i="1"/>
  <c r="BF446" i="1"/>
  <c r="BD446" i="1"/>
  <c r="AP446" i="1"/>
  <c r="BI446" i="1" s="1"/>
  <c r="AC446" i="1" s="1"/>
  <c r="AO446" i="1"/>
  <c r="BH446" i="1" s="1"/>
  <c r="AL446" i="1"/>
  <c r="AK446" i="1"/>
  <c r="AJ446" i="1"/>
  <c r="AH446" i="1"/>
  <c r="AG446" i="1"/>
  <c r="AF446" i="1"/>
  <c r="AE446" i="1"/>
  <c r="AD446" i="1"/>
  <c r="AB446" i="1"/>
  <c r="Z446" i="1"/>
  <c r="J446" i="1"/>
  <c r="H446" i="1"/>
  <c r="BJ445" i="1"/>
  <c r="BF445" i="1"/>
  <c r="BD445" i="1"/>
  <c r="AX445" i="1"/>
  <c r="AP445" i="1"/>
  <c r="BI445" i="1" s="1"/>
  <c r="AC445" i="1" s="1"/>
  <c r="AO445" i="1"/>
  <c r="H445" i="1" s="1"/>
  <c r="AK445" i="1"/>
  <c r="AJ445" i="1"/>
  <c r="AH445" i="1"/>
  <c r="AG445" i="1"/>
  <c r="AF445" i="1"/>
  <c r="AE445" i="1"/>
  <c r="AD445" i="1"/>
  <c r="Z445" i="1"/>
  <c r="J445" i="1"/>
  <c r="AL445" i="1" s="1"/>
  <c r="I445" i="1"/>
  <c r="BJ444" i="1"/>
  <c r="BF444" i="1"/>
  <c r="BD444" i="1"/>
  <c r="AP444" i="1"/>
  <c r="I444" i="1" s="1"/>
  <c r="AO444" i="1"/>
  <c r="BH444" i="1" s="1"/>
  <c r="AB444" i="1" s="1"/>
  <c r="AK444" i="1"/>
  <c r="AJ444" i="1"/>
  <c r="AH444" i="1"/>
  <c r="AG444" i="1"/>
  <c r="AF444" i="1"/>
  <c r="AE444" i="1"/>
  <c r="AD444" i="1"/>
  <c r="Z444" i="1"/>
  <c r="J444" i="1"/>
  <c r="AL444" i="1" s="1"/>
  <c r="BJ443" i="1"/>
  <c r="BF443" i="1"/>
  <c r="BD443" i="1"/>
  <c r="AP443" i="1"/>
  <c r="BI443" i="1" s="1"/>
  <c r="AC443" i="1" s="1"/>
  <c r="AO443" i="1"/>
  <c r="AK443" i="1"/>
  <c r="AJ443" i="1"/>
  <c r="AH443" i="1"/>
  <c r="AG443" i="1"/>
  <c r="AF443" i="1"/>
  <c r="AE443" i="1"/>
  <c r="AD443" i="1"/>
  <c r="Z443" i="1"/>
  <c r="J443" i="1"/>
  <c r="AL443" i="1" s="1"/>
  <c r="BJ442" i="1"/>
  <c r="BF442" i="1"/>
  <c r="BD442" i="1"/>
  <c r="AP442" i="1"/>
  <c r="BI442" i="1" s="1"/>
  <c r="AC442" i="1" s="1"/>
  <c r="AO442" i="1"/>
  <c r="AK442" i="1"/>
  <c r="AJ442" i="1"/>
  <c r="AH442" i="1"/>
  <c r="AG442" i="1"/>
  <c r="AF442" i="1"/>
  <c r="AE442" i="1"/>
  <c r="AD442" i="1"/>
  <c r="Z442" i="1"/>
  <c r="J442" i="1"/>
  <c r="AL442" i="1" s="1"/>
  <c r="BJ441" i="1"/>
  <c r="BF441" i="1"/>
  <c r="BD441" i="1"/>
  <c r="AP441" i="1"/>
  <c r="AO441" i="1"/>
  <c r="AK441" i="1"/>
  <c r="AJ441" i="1"/>
  <c r="AH441" i="1"/>
  <c r="AG441" i="1"/>
  <c r="AF441" i="1"/>
  <c r="AE441" i="1"/>
  <c r="AD441" i="1"/>
  <c r="Z441" i="1"/>
  <c r="J441" i="1"/>
  <c r="AL441" i="1" s="1"/>
  <c r="BJ440" i="1"/>
  <c r="BF440" i="1"/>
  <c r="BD440" i="1"/>
  <c r="AP440" i="1"/>
  <c r="I440" i="1" s="1"/>
  <c r="AO440" i="1"/>
  <c r="BH440" i="1" s="1"/>
  <c r="AB440" i="1" s="1"/>
  <c r="AK440" i="1"/>
  <c r="AJ440" i="1"/>
  <c r="AH440" i="1"/>
  <c r="AG440" i="1"/>
  <c r="AF440" i="1"/>
  <c r="AE440" i="1"/>
  <c r="AD440" i="1"/>
  <c r="Z440" i="1"/>
  <c r="J440" i="1"/>
  <c r="BJ438" i="1"/>
  <c r="BF438" i="1"/>
  <c r="BD438" i="1"/>
  <c r="AP438" i="1"/>
  <c r="AO438" i="1"/>
  <c r="AK438" i="1"/>
  <c r="AJ438" i="1"/>
  <c r="AH438" i="1"/>
  <c r="AG438" i="1"/>
  <c r="AF438" i="1"/>
  <c r="AE438" i="1"/>
  <c r="AD438" i="1"/>
  <c r="Z438" i="1"/>
  <c r="J438" i="1"/>
  <c r="AL438" i="1" s="1"/>
  <c r="BJ437" i="1"/>
  <c r="BF437" i="1"/>
  <c r="BD437" i="1"/>
  <c r="AP437" i="1"/>
  <c r="I437" i="1" s="1"/>
  <c r="AO437" i="1"/>
  <c r="AK437" i="1"/>
  <c r="AJ437" i="1"/>
  <c r="AH437" i="1"/>
  <c r="AG437" i="1"/>
  <c r="AF437" i="1"/>
  <c r="AE437" i="1"/>
  <c r="AD437" i="1"/>
  <c r="Z437" i="1"/>
  <c r="J437" i="1"/>
  <c r="AL437" i="1" s="1"/>
  <c r="BJ436" i="1"/>
  <c r="BF436" i="1"/>
  <c r="BD436" i="1"/>
  <c r="AP436" i="1"/>
  <c r="AO436" i="1"/>
  <c r="AK436" i="1"/>
  <c r="AJ436" i="1"/>
  <c r="AH436" i="1"/>
  <c r="AG436" i="1"/>
  <c r="AF436" i="1"/>
  <c r="AE436" i="1"/>
  <c r="AD436" i="1"/>
  <c r="Z436" i="1"/>
  <c r="J436" i="1"/>
  <c r="AL436" i="1" s="1"/>
  <c r="BJ435" i="1"/>
  <c r="BF435" i="1"/>
  <c r="BD435" i="1"/>
  <c r="AP435" i="1"/>
  <c r="BI435" i="1" s="1"/>
  <c r="AC435" i="1" s="1"/>
  <c r="AO435" i="1"/>
  <c r="H435" i="1" s="1"/>
  <c r="AK435" i="1"/>
  <c r="AJ435" i="1"/>
  <c r="AH435" i="1"/>
  <c r="AG435" i="1"/>
  <c r="AF435" i="1"/>
  <c r="AE435" i="1"/>
  <c r="AD435" i="1"/>
  <c r="Z435" i="1"/>
  <c r="J435" i="1"/>
  <c r="AL435" i="1" s="1"/>
  <c r="I435" i="1"/>
  <c r="BJ434" i="1"/>
  <c r="BF434" i="1"/>
  <c r="BD434" i="1"/>
  <c r="AP434" i="1"/>
  <c r="BI434" i="1" s="1"/>
  <c r="AC434" i="1" s="1"/>
  <c r="AO434" i="1"/>
  <c r="AK434" i="1"/>
  <c r="AJ434" i="1"/>
  <c r="AH434" i="1"/>
  <c r="AG434" i="1"/>
  <c r="AF434" i="1"/>
  <c r="AE434" i="1"/>
  <c r="AD434" i="1"/>
  <c r="Z434" i="1"/>
  <c r="J434" i="1"/>
  <c r="AL434" i="1" s="1"/>
  <c r="BJ433" i="1"/>
  <c r="BF433" i="1"/>
  <c r="BD433" i="1"/>
  <c r="AP433" i="1"/>
  <c r="I433" i="1" s="1"/>
  <c r="AO433" i="1"/>
  <c r="AK433" i="1"/>
  <c r="AJ433" i="1"/>
  <c r="AH433" i="1"/>
  <c r="AG433" i="1"/>
  <c r="AF433" i="1"/>
  <c r="AE433" i="1"/>
  <c r="AD433" i="1"/>
  <c r="Z433" i="1"/>
  <c r="J433" i="1"/>
  <c r="AL433" i="1" s="1"/>
  <c r="BJ432" i="1"/>
  <c r="BF432" i="1"/>
  <c r="BD432" i="1"/>
  <c r="AP432" i="1"/>
  <c r="AO432" i="1"/>
  <c r="AK432" i="1"/>
  <c r="AJ432" i="1"/>
  <c r="AH432" i="1"/>
  <c r="AG432" i="1"/>
  <c r="AF432" i="1"/>
  <c r="AE432" i="1"/>
  <c r="AD432" i="1"/>
  <c r="Z432" i="1"/>
  <c r="J432" i="1"/>
  <c r="AL432" i="1" s="1"/>
  <c r="BJ431" i="1"/>
  <c r="BF431" i="1"/>
  <c r="BD431" i="1"/>
  <c r="AP431" i="1"/>
  <c r="BI431" i="1" s="1"/>
  <c r="AC431" i="1" s="1"/>
  <c r="AO431" i="1"/>
  <c r="AK431" i="1"/>
  <c r="AJ431" i="1"/>
  <c r="AH431" i="1"/>
  <c r="AG431" i="1"/>
  <c r="AF431" i="1"/>
  <c r="AE431" i="1"/>
  <c r="AD431" i="1"/>
  <c r="Z431" i="1"/>
  <c r="J431" i="1"/>
  <c r="AL431" i="1" s="1"/>
  <c r="H431" i="1"/>
  <c r="BJ430" i="1"/>
  <c r="BF430" i="1"/>
  <c r="BD430" i="1"/>
  <c r="AX430" i="1"/>
  <c r="AP430" i="1"/>
  <c r="BI430" i="1" s="1"/>
  <c r="AC430" i="1" s="1"/>
  <c r="AO430" i="1"/>
  <c r="AK430" i="1"/>
  <c r="AJ430" i="1"/>
  <c r="AH430" i="1"/>
  <c r="AG430" i="1"/>
  <c r="AF430" i="1"/>
  <c r="AE430" i="1"/>
  <c r="AD430" i="1"/>
  <c r="Z430" i="1"/>
  <c r="J430" i="1"/>
  <c r="AL430" i="1" s="1"/>
  <c r="I430" i="1"/>
  <c r="BJ429" i="1"/>
  <c r="BF429" i="1"/>
  <c r="BD429" i="1"/>
  <c r="AP429" i="1"/>
  <c r="I429" i="1" s="1"/>
  <c r="AO429" i="1"/>
  <c r="AK429" i="1"/>
  <c r="AJ429" i="1"/>
  <c r="AH429" i="1"/>
  <c r="AG429" i="1"/>
  <c r="AF429" i="1"/>
  <c r="AE429" i="1"/>
  <c r="AD429" i="1"/>
  <c r="Z429" i="1"/>
  <c r="J429" i="1"/>
  <c r="AL429" i="1" s="1"/>
  <c r="BJ428" i="1"/>
  <c r="BF428" i="1"/>
  <c r="BD428" i="1"/>
  <c r="AP428" i="1"/>
  <c r="AO428" i="1"/>
  <c r="BH428" i="1" s="1"/>
  <c r="AB428" i="1" s="1"/>
  <c r="AK428" i="1"/>
  <c r="AJ428" i="1"/>
  <c r="AH428" i="1"/>
  <c r="AG428" i="1"/>
  <c r="AF428" i="1"/>
  <c r="AE428" i="1"/>
  <c r="AD428" i="1"/>
  <c r="Z428" i="1"/>
  <c r="J428" i="1"/>
  <c r="AL428" i="1" s="1"/>
  <c r="BJ427" i="1"/>
  <c r="BF427" i="1"/>
  <c r="BD427" i="1"/>
  <c r="AP427" i="1"/>
  <c r="BI427" i="1" s="1"/>
  <c r="AC427" i="1" s="1"/>
  <c r="AO427" i="1"/>
  <c r="AK427" i="1"/>
  <c r="AJ427" i="1"/>
  <c r="AH427" i="1"/>
  <c r="AG427" i="1"/>
  <c r="AF427" i="1"/>
  <c r="AE427" i="1"/>
  <c r="AD427" i="1"/>
  <c r="Z427" i="1"/>
  <c r="J427" i="1"/>
  <c r="AL427" i="1" s="1"/>
  <c r="BJ426" i="1"/>
  <c r="BF426" i="1"/>
  <c r="BD426" i="1"/>
  <c r="AP426" i="1"/>
  <c r="AO426" i="1"/>
  <c r="AK426" i="1"/>
  <c r="AJ426" i="1"/>
  <c r="AH426" i="1"/>
  <c r="AG426" i="1"/>
  <c r="AF426" i="1"/>
  <c r="AE426" i="1"/>
  <c r="AD426" i="1"/>
  <c r="Z426" i="1"/>
  <c r="J426" i="1"/>
  <c r="AL426" i="1" s="1"/>
  <c r="BJ425" i="1"/>
  <c r="BF425" i="1"/>
  <c r="BD425" i="1"/>
  <c r="AP425" i="1"/>
  <c r="AO425" i="1"/>
  <c r="AK425" i="1"/>
  <c r="AJ425" i="1"/>
  <c r="AH425" i="1"/>
  <c r="AG425" i="1"/>
  <c r="AF425" i="1"/>
  <c r="AE425" i="1"/>
  <c r="AD425" i="1"/>
  <c r="Z425" i="1"/>
  <c r="J425" i="1"/>
  <c r="BJ423" i="1"/>
  <c r="BF423" i="1"/>
  <c r="BD423" i="1"/>
  <c r="AP423" i="1"/>
  <c r="AO423" i="1"/>
  <c r="H423" i="1" s="1"/>
  <c r="AK423" i="1"/>
  <c r="AJ423" i="1"/>
  <c r="AH423" i="1"/>
  <c r="AG423" i="1"/>
  <c r="AF423" i="1"/>
  <c r="AE423" i="1"/>
  <c r="AD423" i="1"/>
  <c r="Z423" i="1"/>
  <c r="J423" i="1"/>
  <c r="AL423" i="1" s="1"/>
  <c r="BJ422" i="1"/>
  <c r="BF422" i="1"/>
  <c r="BD422" i="1"/>
  <c r="AP422" i="1"/>
  <c r="AX422" i="1" s="1"/>
  <c r="AO422" i="1"/>
  <c r="BH422" i="1" s="1"/>
  <c r="AB422" i="1" s="1"/>
  <c r="AK422" i="1"/>
  <c r="AJ422" i="1"/>
  <c r="AH422" i="1"/>
  <c r="AG422" i="1"/>
  <c r="AF422" i="1"/>
  <c r="AE422" i="1"/>
  <c r="AD422" i="1"/>
  <c r="Z422" i="1"/>
  <c r="J422" i="1"/>
  <c r="AL422" i="1" s="1"/>
  <c r="BJ421" i="1"/>
  <c r="BF421" i="1"/>
  <c r="BD421" i="1"/>
  <c r="AP421" i="1"/>
  <c r="AO421" i="1"/>
  <c r="BH421" i="1" s="1"/>
  <c r="AK421" i="1"/>
  <c r="AJ421" i="1"/>
  <c r="AH421" i="1"/>
  <c r="AG421" i="1"/>
  <c r="AF421" i="1"/>
  <c r="AE421" i="1"/>
  <c r="AD421" i="1"/>
  <c r="AB421" i="1"/>
  <c r="Z421" i="1"/>
  <c r="J421" i="1"/>
  <c r="AL421" i="1" s="1"/>
  <c r="BJ420" i="1"/>
  <c r="BF420" i="1"/>
  <c r="BD420" i="1"/>
  <c r="AP420" i="1"/>
  <c r="AX420" i="1" s="1"/>
  <c r="AO420" i="1"/>
  <c r="AK420" i="1"/>
  <c r="AJ420" i="1"/>
  <c r="AH420" i="1"/>
  <c r="AG420" i="1"/>
  <c r="AF420" i="1"/>
  <c r="AE420" i="1"/>
  <c r="AD420" i="1"/>
  <c r="Z420" i="1"/>
  <c r="J420" i="1"/>
  <c r="AL420" i="1" s="1"/>
  <c r="BJ419" i="1"/>
  <c r="BH419" i="1"/>
  <c r="AB419" i="1" s="1"/>
  <c r="BF419" i="1"/>
  <c r="BD419" i="1"/>
  <c r="AW419" i="1"/>
  <c r="AP419" i="1"/>
  <c r="AO419" i="1"/>
  <c r="AK419" i="1"/>
  <c r="AJ419" i="1"/>
  <c r="AH419" i="1"/>
  <c r="AG419" i="1"/>
  <c r="AF419" i="1"/>
  <c r="AE419" i="1"/>
  <c r="AD419" i="1"/>
  <c r="Z419" i="1"/>
  <c r="J419" i="1"/>
  <c r="AL419" i="1" s="1"/>
  <c r="H419" i="1"/>
  <c r="BJ418" i="1"/>
  <c r="BF418" i="1"/>
  <c r="BD418" i="1"/>
  <c r="AP418" i="1"/>
  <c r="AO418" i="1"/>
  <c r="AK418" i="1"/>
  <c r="AJ418" i="1"/>
  <c r="AH418" i="1"/>
  <c r="AG418" i="1"/>
  <c r="AF418" i="1"/>
  <c r="AE418" i="1"/>
  <c r="AD418" i="1"/>
  <c r="Z418" i="1"/>
  <c r="J418" i="1"/>
  <c r="AL418" i="1" s="1"/>
  <c r="BJ417" i="1"/>
  <c r="BF417" i="1"/>
  <c r="BD417" i="1"/>
  <c r="AP417" i="1"/>
  <c r="AO417" i="1"/>
  <c r="H417" i="1" s="1"/>
  <c r="AK417" i="1"/>
  <c r="AJ417" i="1"/>
  <c r="AH417" i="1"/>
  <c r="AG417" i="1"/>
  <c r="AF417" i="1"/>
  <c r="AE417" i="1"/>
  <c r="AD417" i="1"/>
  <c r="Z417" i="1"/>
  <c r="J417" i="1"/>
  <c r="AL417" i="1" s="1"/>
  <c r="BJ416" i="1"/>
  <c r="BF416" i="1"/>
  <c r="BD416" i="1"/>
  <c r="AP416" i="1"/>
  <c r="AO416" i="1"/>
  <c r="BH416" i="1" s="1"/>
  <c r="AB416" i="1" s="1"/>
  <c r="AK416" i="1"/>
  <c r="AJ416" i="1"/>
  <c r="AH416" i="1"/>
  <c r="AG416" i="1"/>
  <c r="AF416" i="1"/>
  <c r="AE416" i="1"/>
  <c r="AD416" i="1"/>
  <c r="Z416" i="1"/>
  <c r="J416" i="1"/>
  <c r="AL416" i="1" s="1"/>
  <c r="BJ415" i="1"/>
  <c r="BF415" i="1"/>
  <c r="BD415" i="1"/>
  <c r="AP415" i="1"/>
  <c r="AO415" i="1"/>
  <c r="AK415" i="1"/>
  <c r="AJ415" i="1"/>
  <c r="AH415" i="1"/>
  <c r="AG415" i="1"/>
  <c r="AF415" i="1"/>
  <c r="AE415" i="1"/>
  <c r="AD415" i="1"/>
  <c r="Z415" i="1"/>
  <c r="J415" i="1"/>
  <c r="AL415" i="1" s="1"/>
  <c r="BJ414" i="1"/>
  <c r="BF414" i="1"/>
  <c r="BD414" i="1"/>
  <c r="AP414" i="1"/>
  <c r="AX414" i="1" s="1"/>
  <c r="AO414" i="1"/>
  <c r="BH414" i="1" s="1"/>
  <c r="AB414" i="1" s="1"/>
  <c r="AK414" i="1"/>
  <c r="AJ414" i="1"/>
  <c r="AH414" i="1"/>
  <c r="AG414" i="1"/>
  <c r="AF414" i="1"/>
  <c r="AE414" i="1"/>
  <c r="AD414" i="1"/>
  <c r="Z414" i="1"/>
  <c r="J414" i="1"/>
  <c r="AL414" i="1" s="1"/>
  <c r="BJ413" i="1"/>
  <c r="BF413" i="1"/>
  <c r="BD413" i="1"/>
  <c r="AP413" i="1"/>
  <c r="AO413" i="1"/>
  <c r="AW413" i="1" s="1"/>
  <c r="AK413" i="1"/>
  <c r="AJ413" i="1"/>
  <c r="AH413" i="1"/>
  <c r="AG413" i="1"/>
  <c r="AF413" i="1"/>
  <c r="AE413" i="1"/>
  <c r="AD413" i="1"/>
  <c r="Z413" i="1"/>
  <c r="J413" i="1"/>
  <c r="AL413" i="1" s="1"/>
  <c r="H413" i="1"/>
  <c r="BJ412" i="1"/>
  <c r="BF412" i="1"/>
  <c r="BD412" i="1"/>
  <c r="AP412" i="1"/>
  <c r="AO412" i="1"/>
  <c r="AK412" i="1"/>
  <c r="AJ412" i="1"/>
  <c r="AH412" i="1"/>
  <c r="AG412" i="1"/>
  <c r="AF412" i="1"/>
  <c r="AE412" i="1"/>
  <c r="AD412" i="1"/>
  <c r="Z412" i="1"/>
  <c r="J412" i="1"/>
  <c r="AL412" i="1" s="1"/>
  <c r="BJ411" i="1"/>
  <c r="BF411" i="1"/>
  <c r="BD411" i="1"/>
  <c r="AP411" i="1"/>
  <c r="AX411" i="1" s="1"/>
  <c r="AO411" i="1"/>
  <c r="AK411" i="1"/>
  <c r="AJ411" i="1"/>
  <c r="AH411" i="1"/>
  <c r="AG411" i="1"/>
  <c r="AF411" i="1"/>
  <c r="AE411" i="1"/>
  <c r="AD411" i="1"/>
  <c r="Z411" i="1"/>
  <c r="J411" i="1"/>
  <c r="AL411" i="1" s="1"/>
  <c r="BJ410" i="1"/>
  <c r="BF410" i="1"/>
  <c r="BD410" i="1"/>
  <c r="AP410" i="1"/>
  <c r="AO410" i="1"/>
  <c r="AW410" i="1" s="1"/>
  <c r="AK410" i="1"/>
  <c r="AJ410" i="1"/>
  <c r="AH410" i="1"/>
  <c r="AG410" i="1"/>
  <c r="AF410" i="1"/>
  <c r="AE410" i="1"/>
  <c r="AD410" i="1"/>
  <c r="Z410" i="1"/>
  <c r="J410" i="1"/>
  <c r="AL410" i="1" s="1"/>
  <c r="BJ409" i="1"/>
  <c r="BF409" i="1"/>
  <c r="BD409" i="1"/>
  <c r="AP409" i="1"/>
  <c r="AO409" i="1"/>
  <c r="BH409" i="1" s="1"/>
  <c r="AK409" i="1"/>
  <c r="AJ409" i="1"/>
  <c r="AH409" i="1"/>
  <c r="AG409" i="1"/>
  <c r="AF409" i="1"/>
  <c r="AE409" i="1"/>
  <c r="AD409" i="1"/>
  <c r="AB409" i="1"/>
  <c r="Z409" i="1"/>
  <c r="J409" i="1"/>
  <c r="AL409" i="1" s="1"/>
  <c r="H409" i="1"/>
  <c r="BJ408" i="1"/>
  <c r="BF408" i="1"/>
  <c r="BD408" i="1"/>
  <c r="AP408" i="1"/>
  <c r="BI408" i="1" s="1"/>
  <c r="AC408" i="1" s="1"/>
  <c r="AO408" i="1"/>
  <c r="AK408" i="1"/>
  <c r="AJ408" i="1"/>
  <c r="AH408" i="1"/>
  <c r="AG408" i="1"/>
  <c r="AF408" i="1"/>
  <c r="AE408" i="1"/>
  <c r="AD408" i="1"/>
  <c r="Z408" i="1"/>
  <c r="J408" i="1"/>
  <c r="AL408" i="1" s="1"/>
  <c r="H408" i="1"/>
  <c r="BJ407" i="1"/>
  <c r="BF407" i="1"/>
  <c r="BD407" i="1"/>
  <c r="AP407" i="1"/>
  <c r="AO407" i="1"/>
  <c r="AK407" i="1"/>
  <c r="AJ407" i="1"/>
  <c r="AH407" i="1"/>
  <c r="AG407" i="1"/>
  <c r="AF407" i="1"/>
  <c r="AE407" i="1"/>
  <c r="AD407" i="1"/>
  <c r="Z407" i="1"/>
  <c r="J407" i="1"/>
  <c r="AL407" i="1" s="1"/>
  <c r="BJ406" i="1"/>
  <c r="BF406" i="1"/>
  <c r="BD406" i="1"/>
  <c r="AP406" i="1"/>
  <c r="AO406" i="1"/>
  <c r="BH406" i="1" s="1"/>
  <c r="AB406" i="1" s="1"/>
  <c r="AK406" i="1"/>
  <c r="AJ406" i="1"/>
  <c r="AH406" i="1"/>
  <c r="AG406" i="1"/>
  <c r="AF406" i="1"/>
  <c r="AE406" i="1"/>
  <c r="AD406" i="1"/>
  <c r="Z406" i="1"/>
  <c r="J406" i="1"/>
  <c r="AL406" i="1" s="1"/>
  <c r="BJ405" i="1"/>
  <c r="BI405" i="1"/>
  <c r="AC405" i="1" s="1"/>
  <c r="BF405" i="1"/>
  <c r="BD405" i="1"/>
  <c r="AP405" i="1"/>
  <c r="AX405" i="1" s="1"/>
  <c r="AO405" i="1"/>
  <c r="AK405" i="1"/>
  <c r="AJ405" i="1"/>
  <c r="AH405" i="1"/>
  <c r="AG405" i="1"/>
  <c r="AF405" i="1"/>
  <c r="AE405" i="1"/>
  <c r="AD405" i="1"/>
  <c r="Z405" i="1"/>
  <c r="J405" i="1"/>
  <c r="AL405" i="1" s="1"/>
  <c r="I405" i="1"/>
  <c r="BJ404" i="1"/>
  <c r="BF404" i="1"/>
  <c r="BD404" i="1"/>
  <c r="AP404" i="1"/>
  <c r="I404" i="1" s="1"/>
  <c r="AO404" i="1"/>
  <c r="AK404" i="1"/>
  <c r="AJ404" i="1"/>
  <c r="AH404" i="1"/>
  <c r="AG404" i="1"/>
  <c r="AF404" i="1"/>
  <c r="AE404" i="1"/>
  <c r="AD404" i="1"/>
  <c r="Z404" i="1"/>
  <c r="J404" i="1"/>
  <c r="AL404" i="1" s="1"/>
  <c r="BJ403" i="1"/>
  <c r="BF403" i="1"/>
  <c r="BD403" i="1"/>
  <c r="AP403" i="1"/>
  <c r="BI403" i="1" s="1"/>
  <c r="AC403" i="1" s="1"/>
  <c r="AO403" i="1"/>
  <c r="AK403" i="1"/>
  <c r="AJ403" i="1"/>
  <c r="AH403" i="1"/>
  <c r="AG403" i="1"/>
  <c r="AF403" i="1"/>
  <c r="AE403" i="1"/>
  <c r="AD403" i="1"/>
  <c r="Z403" i="1"/>
  <c r="J403" i="1"/>
  <c r="AL403" i="1" s="1"/>
  <c r="I403" i="1"/>
  <c r="BJ402" i="1"/>
  <c r="BF402" i="1"/>
  <c r="BD402" i="1"/>
  <c r="AP402" i="1"/>
  <c r="AO402" i="1"/>
  <c r="H402" i="1" s="1"/>
  <c r="AK402" i="1"/>
  <c r="AJ402" i="1"/>
  <c r="AH402" i="1"/>
  <c r="AG402" i="1"/>
  <c r="AF402" i="1"/>
  <c r="AE402" i="1"/>
  <c r="AD402" i="1"/>
  <c r="Z402" i="1"/>
  <c r="J402" i="1"/>
  <c r="AL402" i="1" s="1"/>
  <c r="BJ401" i="1"/>
  <c r="BF401" i="1"/>
  <c r="BD401" i="1"/>
  <c r="AP401" i="1"/>
  <c r="AO401" i="1"/>
  <c r="AK401" i="1"/>
  <c r="AJ401" i="1"/>
  <c r="AH401" i="1"/>
  <c r="AG401" i="1"/>
  <c r="AF401" i="1"/>
  <c r="AE401" i="1"/>
  <c r="AD401" i="1"/>
  <c r="Z401" i="1"/>
  <c r="J401" i="1"/>
  <c r="AL401" i="1" s="1"/>
  <c r="BJ400" i="1"/>
  <c r="BH400" i="1"/>
  <c r="AB400" i="1" s="1"/>
  <c r="BF400" i="1"/>
  <c r="BD400" i="1"/>
  <c r="AP400" i="1"/>
  <c r="I400" i="1" s="1"/>
  <c r="AO400" i="1"/>
  <c r="H400" i="1" s="1"/>
  <c r="AK400" i="1"/>
  <c r="AJ400" i="1"/>
  <c r="AH400" i="1"/>
  <c r="AG400" i="1"/>
  <c r="AF400" i="1"/>
  <c r="AE400" i="1"/>
  <c r="AD400" i="1"/>
  <c r="Z400" i="1"/>
  <c r="J400" i="1"/>
  <c r="AL400" i="1" s="1"/>
  <c r="BJ399" i="1"/>
  <c r="BF399" i="1"/>
  <c r="BD399" i="1"/>
  <c r="AP399" i="1"/>
  <c r="AO399" i="1"/>
  <c r="BH399" i="1" s="1"/>
  <c r="AB399" i="1" s="1"/>
  <c r="AK399" i="1"/>
  <c r="AJ399" i="1"/>
  <c r="AH399" i="1"/>
  <c r="AG399" i="1"/>
  <c r="AF399" i="1"/>
  <c r="AE399" i="1"/>
  <c r="AD399" i="1"/>
  <c r="Z399" i="1"/>
  <c r="J399" i="1"/>
  <c r="AL399" i="1" s="1"/>
  <c r="BJ398" i="1"/>
  <c r="BF398" i="1"/>
  <c r="BD398" i="1"/>
  <c r="AP398" i="1"/>
  <c r="AO398" i="1"/>
  <c r="AK398" i="1"/>
  <c r="AJ398" i="1"/>
  <c r="AH398" i="1"/>
  <c r="AG398" i="1"/>
  <c r="AF398" i="1"/>
  <c r="AE398" i="1"/>
  <c r="AD398" i="1"/>
  <c r="Z398" i="1"/>
  <c r="J398" i="1"/>
  <c r="AL398" i="1" s="1"/>
  <c r="BJ397" i="1"/>
  <c r="BF397" i="1"/>
  <c r="BD397" i="1"/>
  <c r="AP397" i="1"/>
  <c r="AO397" i="1"/>
  <c r="AK397" i="1"/>
  <c r="AJ397" i="1"/>
  <c r="AH397" i="1"/>
  <c r="AG397" i="1"/>
  <c r="AF397" i="1"/>
  <c r="AE397" i="1"/>
  <c r="AD397" i="1"/>
  <c r="Z397" i="1"/>
  <c r="J397" i="1"/>
  <c r="AL397" i="1" s="1"/>
  <c r="H397" i="1"/>
  <c r="BJ396" i="1"/>
  <c r="BF396" i="1"/>
  <c r="BD396" i="1"/>
  <c r="AP396" i="1"/>
  <c r="BI396" i="1" s="1"/>
  <c r="AC396" i="1" s="1"/>
  <c r="AO396" i="1"/>
  <c r="AK396" i="1"/>
  <c r="AJ396" i="1"/>
  <c r="AH396" i="1"/>
  <c r="AG396" i="1"/>
  <c r="AF396" i="1"/>
  <c r="AE396" i="1"/>
  <c r="AD396" i="1"/>
  <c r="Z396" i="1"/>
  <c r="J396" i="1"/>
  <c r="AL396" i="1" s="1"/>
  <c r="BJ395" i="1"/>
  <c r="BF395" i="1"/>
  <c r="BD395" i="1"/>
  <c r="AP395" i="1"/>
  <c r="BI395" i="1" s="1"/>
  <c r="AC395" i="1" s="1"/>
  <c r="AO395" i="1"/>
  <c r="AK395" i="1"/>
  <c r="AJ395" i="1"/>
  <c r="AH395" i="1"/>
  <c r="AG395" i="1"/>
  <c r="AF395" i="1"/>
  <c r="AE395" i="1"/>
  <c r="AD395" i="1"/>
  <c r="Z395" i="1"/>
  <c r="J395" i="1"/>
  <c r="AL395" i="1" s="1"/>
  <c r="BJ394" i="1"/>
  <c r="BF394" i="1"/>
  <c r="BD394" i="1"/>
  <c r="AP394" i="1"/>
  <c r="I394" i="1" s="1"/>
  <c r="AO394" i="1"/>
  <c r="AK394" i="1"/>
  <c r="AJ394" i="1"/>
  <c r="AH394" i="1"/>
  <c r="AG394" i="1"/>
  <c r="AF394" i="1"/>
  <c r="AE394" i="1"/>
  <c r="AD394" i="1"/>
  <c r="Z394" i="1"/>
  <c r="J394" i="1"/>
  <c r="BJ393" i="1"/>
  <c r="BF393" i="1"/>
  <c r="BD393" i="1"/>
  <c r="AP393" i="1"/>
  <c r="AO393" i="1"/>
  <c r="AK393" i="1"/>
  <c r="AJ393" i="1"/>
  <c r="AH393" i="1"/>
  <c r="AG393" i="1"/>
  <c r="AF393" i="1"/>
  <c r="AE393" i="1"/>
  <c r="AD393" i="1"/>
  <c r="Z393" i="1"/>
  <c r="J393" i="1"/>
  <c r="AL393" i="1" s="1"/>
  <c r="BJ392" i="1"/>
  <c r="BF392" i="1"/>
  <c r="BD392" i="1"/>
  <c r="AX392" i="1"/>
  <c r="AP392" i="1"/>
  <c r="BI392" i="1" s="1"/>
  <c r="AC392" i="1" s="1"/>
  <c r="AO392" i="1"/>
  <c r="AK392" i="1"/>
  <c r="AJ392" i="1"/>
  <c r="AH392" i="1"/>
  <c r="AG392" i="1"/>
  <c r="AF392" i="1"/>
  <c r="AE392" i="1"/>
  <c r="AD392" i="1"/>
  <c r="Z392" i="1"/>
  <c r="J392" i="1"/>
  <c r="AL392" i="1" s="1"/>
  <c r="I392" i="1"/>
  <c r="BJ390" i="1"/>
  <c r="BF390" i="1"/>
  <c r="BD390" i="1"/>
  <c r="AP390" i="1"/>
  <c r="AO390" i="1"/>
  <c r="BH390" i="1" s="1"/>
  <c r="AB390" i="1" s="1"/>
  <c r="AK390" i="1"/>
  <c r="AJ390" i="1"/>
  <c r="AH390" i="1"/>
  <c r="AG390" i="1"/>
  <c r="AF390" i="1"/>
  <c r="AE390" i="1"/>
  <c r="AD390" i="1"/>
  <c r="Z390" i="1"/>
  <c r="J390" i="1"/>
  <c r="AL390" i="1" s="1"/>
  <c r="H390" i="1"/>
  <c r="BJ389" i="1"/>
  <c r="BF389" i="1"/>
  <c r="BD389" i="1"/>
  <c r="AP389" i="1"/>
  <c r="I389" i="1" s="1"/>
  <c r="AO389" i="1"/>
  <c r="AK389" i="1"/>
  <c r="AJ389" i="1"/>
  <c r="AH389" i="1"/>
  <c r="AG389" i="1"/>
  <c r="AF389" i="1"/>
  <c r="AE389" i="1"/>
  <c r="AD389" i="1"/>
  <c r="Z389" i="1"/>
  <c r="J389" i="1"/>
  <c r="AL389" i="1" s="1"/>
  <c r="BJ388" i="1"/>
  <c r="BF388" i="1"/>
  <c r="BD388" i="1"/>
  <c r="AP388" i="1"/>
  <c r="AO388" i="1"/>
  <c r="BH388" i="1" s="1"/>
  <c r="AB388" i="1" s="1"/>
  <c r="AK388" i="1"/>
  <c r="AJ388" i="1"/>
  <c r="AH388" i="1"/>
  <c r="AG388" i="1"/>
  <c r="AF388" i="1"/>
  <c r="AE388" i="1"/>
  <c r="AD388" i="1"/>
  <c r="Z388" i="1"/>
  <c r="J388" i="1"/>
  <c r="AL388" i="1" s="1"/>
  <c r="BJ387" i="1"/>
  <c r="BF387" i="1"/>
  <c r="BD387" i="1"/>
  <c r="AP387" i="1"/>
  <c r="AO387" i="1"/>
  <c r="AW387" i="1" s="1"/>
  <c r="AK387" i="1"/>
  <c r="AJ387" i="1"/>
  <c r="AH387" i="1"/>
  <c r="AG387" i="1"/>
  <c r="AF387" i="1"/>
  <c r="AE387" i="1"/>
  <c r="AD387" i="1"/>
  <c r="Z387" i="1"/>
  <c r="J387" i="1"/>
  <c r="AL387" i="1" s="1"/>
  <c r="H387" i="1"/>
  <c r="BJ386" i="1"/>
  <c r="BF386" i="1"/>
  <c r="BD386" i="1"/>
  <c r="AW386" i="1"/>
  <c r="AP386" i="1"/>
  <c r="AO386" i="1"/>
  <c r="BH386" i="1" s="1"/>
  <c r="AK386" i="1"/>
  <c r="AJ386" i="1"/>
  <c r="AH386" i="1"/>
  <c r="AG386" i="1"/>
  <c r="AF386" i="1"/>
  <c r="AE386" i="1"/>
  <c r="AD386" i="1"/>
  <c r="AB386" i="1"/>
  <c r="Z386" i="1"/>
  <c r="J386" i="1"/>
  <c r="AL386" i="1" s="1"/>
  <c r="BJ385" i="1"/>
  <c r="BF385" i="1"/>
  <c r="BD385" i="1"/>
  <c r="AP385" i="1"/>
  <c r="BI385" i="1" s="1"/>
  <c r="AC385" i="1" s="1"/>
  <c r="AO385" i="1"/>
  <c r="AK385" i="1"/>
  <c r="AJ385" i="1"/>
  <c r="AH385" i="1"/>
  <c r="AG385" i="1"/>
  <c r="AF385" i="1"/>
  <c r="AE385" i="1"/>
  <c r="AD385" i="1"/>
  <c r="Z385" i="1"/>
  <c r="J385" i="1"/>
  <c r="AL385" i="1" s="1"/>
  <c r="BJ384" i="1"/>
  <c r="BF384" i="1"/>
  <c r="BD384" i="1"/>
  <c r="AP384" i="1"/>
  <c r="AX384" i="1" s="1"/>
  <c r="AO384" i="1"/>
  <c r="AK384" i="1"/>
  <c r="AJ384" i="1"/>
  <c r="AH384" i="1"/>
  <c r="AG384" i="1"/>
  <c r="AF384" i="1"/>
  <c r="AE384" i="1"/>
  <c r="AD384" i="1"/>
  <c r="Z384" i="1"/>
  <c r="J384" i="1"/>
  <c r="AL384" i="1" s="1"/>
  <c r="I384" i="1"/>
  <c r="BJ383" i="1"/>
  <c r="BF383" i="1"/>
  <c r="BD383" i="1"/>
  <c r="AP383" i="1"/>
  <c r="AO383" i="1"/>
  <c r="BH383" i="1" s="1"/>
  <c r="AB383" i="1" s="1"/>
  <c r="AK383" i="1"/>
  <c r="AJ383" i="1"/>
  <c r="AH383" i="1"/>
  <c r="AG383" i="1"/>
  <c r="AF383" i="1"/>
  <c r="AE383" i="1"/>
  <c r="AD383" i="1"/>
  <c r="Z383" i="1"/>
  <c r="J383" i="1"/>
  <c r="AL383" i="1" s="1"/>
  <c r="BJ382" i="1"/>
  <c r="BF382" i="1"/>
  <c r="BD382" i="1"/>
  <c r="AP382" i="1"/>
  <c r="AX382" i="1" s="1"/>
  <c r="AO382" i="1"/>
  <c r="AK382" i="1"/>
  <c r="AJ382" i="1"/>
  <c r="AH382" i="1"/>
  <c r="AG382" i="1"/>
  <c r="AF382" i="1"/>
  <c r="AE382" i="1"/>
  <c r="AD382" i="1"/>
  <c r="Z382" i="1"/>
  <c r="J382" i="1"/>
  <c r="AL382" i="1" s="1"/>
  <c r="H382" i="1"/>
  <c r="BJ381" i="1"/>
  <c r="BF381" i="1"/>
  <c r="BD381" i="1"/>
  <c r="AP381" i="1"/>
  <c r="BI381" i="1" s="1"/>
  <c r="AC381" i="1" s="1"/>
  <c r="AO381" i="1"/>
  <c r="H381" i="1" s="1"/>
  <c r="AK381" i="1"/>
  <c r="AJ381" i="1"/>
  <c r="AH381" i="1"/>
  <c r="AG381" i="1"/>
  <c r="AF381" i="1"/>
  <c r="AE381" i="1"/>
  <c r="AD381" i="1"/>
  <c r="Z381" i="1"/>
  <c r="J381" i="1"/>
  <c r="AL381" i="1" s="1"/>
  <c r="BJ380" i="1"/>
  <c r="BF380" i="1"/>
  <c r="BD380" i="1"/>
  <c r="AP380" i="1"/>
  <c r="AO380" i="1"/>
  <c r="AK380" i="1"/>
  <c r="AJ380" i="1"/>
  <c r="AH380" i="1"/>
  <c r="AG380" i="1"/>
  <c r="AF380" i="1"/>
  <c r="AE380" i="1"/>
  <c r="AD380" i="1"/>
  <c r="Z380" i="1"/>
  <c r="J380" i="1"/>
  <c r="BJ378" i="1"/>
  <c r="BF378" i="1"/>
  <c r="BD378" i="1"/>
  <c r="AP378" i="1"/>
  <c r="BI378" i="1" s="1"/>
  <c r="AC378" i="1" s="1"/>
  <c r="AO378" i="1"/>
  <c r="AK378" i="1"/>
  <c r="AJ378" i="1"/>
  <c r="AH378" i="1"/>
  <c r="AG378" i="1"/>
  <c r="AF378" i="1"/>
  <c r="AE378" i="1"/>
  <c r="AD378" i="1"/>
  <c r="Z378" i="1"/>
  <c r="J378" i="1"/>
  <c r="AL378" i="1" s="1"/>
  <c r="I378" i="1"/>
  <c r="BJ377" i="1"/>
  <c r="BF377" i="1"/>
  <c r="BD377" i="1"/>
  <c r="AP377" i="1"/>
  <c r="AO377" i="1"/>
  <c r="BH377" i="1" s="1"/>
  <c r="AB377" i="1" s="1"/>
  <c r="AK377" i="1"/>
  <c r="AJ377" i="1"/>
  <c r="AH377" i="1"/>
  <c r="AG377" i="1"/>
  <c r="AF377" i="1"/>
  <c r="AE377" i="1"/>
  <c r="AD377" i="1"/>
  <c r="Z377" i="1"/>
  <c r="J377" i="1"/>
  <c r="BJ376" i="1"/>
  <c r="BF376" i="1"/>
  <c r="BD376" i="1"/>
  <c r="AP376" i="1"/>
  <c r="AO376" i="1"/>
  <c r="AK376" i="1"/>
  <c r="AJ376" i="1"/>
  <c r="AH376" i="1"/>
  <c r="AG376" i="1"/>
  <c r="AF376" i="1"/>
  <c r="AE376" i="1"/>
  <c r="AD376" i="1"/>
  <c r="Z376" i="1"/>
  <c r="J376" i="1"/>
  <c r="AL376" i="1" s="1"/>
  <c r="BJ375" i="1"/>
  <c r="BF375" i="1"/>
  <c r="BD375" i="1"/>
  <c r="AP375" i="1"/>
  <c r="AO375" i="1"/>
  <c r="AK375" i="1"/>
  <c r="AJ375" i="1"/>
  <c r="AH375" i="1"/>
  <c r="AG375" i="1"/>
  <c r="AF375" i="1"/>
  <c r="AE375" i="1"/>
  <c r="AD375" i="1"/>
  <c r="Z375" i="1"/>
  <c r="J375" i="1"/>
  <c r="AL375" i="1" s="1"/>
  <c r="BJ374" i="1"/>
  <c r="BF374" i="1"/>
  <c r="BD374" i="1"/>
  <c r="AP374" i="1"/>
  <c r="AO374" i="1"/>
  <c r="H374" i="1" s="1"/>
  <c r="AK374" i="1"/>
  <c r="AJ374" i="1"/>
  <c r="AH374" i="1"/>
  <c r="AG374" i="1"/>
  <c r="AF374" i="1"/>
  <c r="AE374" i="1"/>
  <c r="AD374" i="1"/>
  <c r="Z374" i="1"/>
  <c r="J374" i="1"/>
  <c r="AL374" i="1" s="1"/>
  <c r="BJ373" i="1"/>
  <c r="BF373" i="1"/>
  <c r="BD373" i="1"/>
  <c r="AP373" i="1"/>
  <c r="AO373" i="1"/>
  <c r="AK373" i="1"/>
  <c r="AJ373" i="1"/>
  <c r="AH373" i="1"/>
  <c r="AG373" i="1"/>
  <c r="AF373" i="1"/>
  <c r="AE373" i="1"/>
  <c r="AD373" i="1"/>
  <c r="Z373" i="1"/>
  <c r="J373" i="1"/>
  <c r="AL373" i="1" s="1"/>
  <c r="BJ372" i="1"/>
  <c r="BF372" i="1"/>
  <c r="BD372" i="1"/>
  <c r="AP372" i="1"/>
  <c r="AO372" i="1"/>
  <c r="AK372" i="1"/>
  <c r="AJ372" i="1"/>
  <c r="AH372" i="1"/>
  <c r="AG372" i="1"/>
  <c r="AF372" i="1"/>
  <c r="AE372" i="1"/>
  <c r="AD372" i="1"/>
  <c r="Z372" i="1"/>
  <c r="J372" i="1"/>
  <c r="AL372" i="1" s="1"/>
  <c r="BJ371" i="1"/>
  <c r="BF371" i="1"/>
  <c r="BD371" i="1"/>
  <c r="AP371" i="1"/>
  <c r="AX371" i="1" s="1"/>
  <c r="AO371" i="1"/>
  <c r="AL371" i="1"/>
  <c r="AK371" i="1"/>
  <c r="AJ371" i="1"/>
  <c r="AH371" i="1"/>
  <c r="AG371" i="1"/>
  <c r="AF371" i="1"/>
  <c r="AE371" i="1"/>
  <c r="AD371" i="1"/>
  <c r="Z371" i="1"/>
  <c r="J371" i="1"/>
  <c r="I371" i="1"/>
  <c r="H371" i="1"/>
  <c r="BJ370" i="1"/>
  <c r="BF370" i="1"/>
  <c r="BD370" i="1"/>
  <c r="AP370" i="1"/>
  <c r="AO370" i="1"/>
  <c r="AK370" i="1"/>
  <c r="AJ370" i="1"/>
  <c r="AH370" i="1"/>
  <c r="AG370" i="1"/>
  <c r="AF370" i="1"/>
  <c r="AE370" i="1"/>
  <c r="AD370" i="1"/>
  <c r="Z370" i="1"/>
  <c r="J370" i="1"/>
  <c r="AL370" i="1" s="1"/>
  <c r="BJ368" i="1"/>
  <c r="BF368" i="1"/>
  <c r="BD368" i="1"/>
  <c r="AP368" i="1"/>
  <c r="AO368" i="1"/>
  <c r="AK368" i="1"/>
  <c r="AT367" i="1" s="1"/>
  <c r="AJ368" i="1"/>
  <c r="AS367" i="1" s="1"/>
  <c r="AH368" i="1"/>
  <c r="AE368" i="1"/>
  <c r="AD368" i="1"/>
  <c r="AC368" i="1"/>
  <c r="AB368" i="1"/>
  <c r="Z368" i="1"/>
  <c r="J368" i="1"/>
  <c r="BJ366" i="1"/>
  <c r="BF366" i="1"/>
  <c r="BD366" i="1"/>
  <c r="AP366" i="1"/>
  <c r="AO366" i="1"/>
  <c r="AK366" i="1"/>
  <c r="AJ366" i="1"/>
  <c r="AH366" i="1"/>
  <c r="AG366" i="1"/>
  <c r="AF366" i="1"/>
  <c r="AE366" i="1"/>
  <c r="AD366" i="1"/>
  <c r="Z366" i="1"/>
  <c r="J366" i="1"/>
  <c r="AL366" i="1" s="1"/>
  <c r="BJ365" i="1"/>
  <c r="BF365" i="1"/>
  <c r="BD365" i="1"/>
  <c r="AP365" i="1"/>
  <c r="AO365" i="1"/>
  <c r="BH365" i="1" s="1"/>
  <c r="AB365" i="1" s="1"/>
  <c r="AK365" i="1"/>
  <c r="AJ365" i="1"/>
  <c r="AH365" i="1"/>
  <c r="AG365" i="1"/>
  <c r="AF365" i="1"/>
  <c r="AE365" i="1"/>
  <c r="AD365" i="1"/>
  <c r="Z365" i="1"/>
  <c r="J365" i="1"/>
  <c r="AL365" i="1" s="1"/>
  <c r="BJ364" i="1"/>
  <c r="BF364" i="1"/>
  <c r="BD364" i="1"/>
  <c r="AP364" i="1"/>
  <c r="AO364" i="1"/>
  <c r="H364" i="1" s="1"/>
  <c r="AK364" i="1"/>
  <c r="AJ364" i="1"/>
  <c r="AH364" i="1"/>
  <c r="AG364" i="1"/>
  <c r="AF364" i="1"/>
  <c r="AE364" i="1"/>
  <c r="AD364" i="1"/>
  <c r="Z364" i="1"/>
  <c r="J364" i="1"/>
  <c r="AL364" i="1" s="1"/>
  <c r="BJ363" i="1"/>
  <c r="BF363" i="1"/>
  <c r="BD363" i="1"/>
  <c r="AP363" i="1"/>
  <c r="AX363" i="1" s="1"/>
  <c r="AO363" i="1"/>
  <c r="AL363" i="1"/>
  <c r="AK363" i="1"/>
  <c r="AJ363" i="1"/>
  <c r="AH363" i="1"/>
  <c r="AG363" i="1"/>
  <c r="AF363" i="1"/>
  <c r="AE363" i="1"/>
  <c r="AD363" i="1"/>
  <c r="Z363" i="1"/>
  <c r="J363" i="1"/>
  <c r="BJ362" i="1"/>
  <c r="BF362" i="1"/>
  <c r="BD362" i="1"/>
  <c r="AP362" i="1"/>
  <c r="AX362" i="1" s="1"/>
  <c r="AO362" i="1"/>
  <c r="AW362" i="1" s="1"/>
  <c r="AK362" i="1"/>
  <c r="AJ362" i="1"/>
  <c r="AH362" i="1"/>
  <c r="AG362" i="1"/>
  <c r="AF362" i="1"/>
  <c r="AE362" i="1"/>
  <c r="AD362" i="1"/>
  <c r="Z362" i="1"/>
  <c r="J362" i="1"/>
  <c r="AL362" i="1" s="1"/>
  <c r="BJ361" i="1"/>
  <c r="BF361" i="1"/>
  <c r="BD361" i="1"/>
  <c r="AP361" i="1"/>
  <c r="AO361" i="1"/>
  <c r="AK361" i="1"/>
  <c r="AJ361" i="1"/>
  <c r="AH361" i="1"/>
  <c r="AG361" i="1"/>
  <c r="AF361" i="1"/>
  <c r="AE361" i="1"/>
  <c r="AD361" i="1"/>
  <c r="Z361" i="1"/>
  <c r="J361" i="1"/>
  <c r="AL361" i="1" s="1"/>
  <c r="BJ360" i="1"/>
  <c r="BF360" i="1"/>
  <c r="BD360" i="1"/>
  <c r="AP360" i="1"/>
  <c r="AO360" i="1"/>
  <c r="H360" i="1" s="1"/>
  <c r="AK360" i="1"/>
  <c r="AJ360" i="1"/>
  <c r="AH360" i="1"/>
  <c r="AG360" i="1"/>
  <c r="AF360" i="1"/>
  <c r="AE360" i="1"/>
  <c r="AD360" i="1"/>
  <c r="Z360" i="1"/>
  <c r="J360" i="1"/>
  <c r="AL360" i="1" s="1"/>
  <c r="BJ359" i="1"/>
  <c r="BF359" i="1"/>
  <c r="BD359" i="1"/>
  <c r="AP359" i="1"/>
  <c r="AX359" i="1" s="1"/>
  <c r="AO359" i="1"/>
  <c r="AW359" i="1" s="1"/>
  <c r="AK359" i="1"/>
  <c r="AJ359" i="1"/>
  <c r="AH359" i="1"/>
  <c r="AG359" i="1"/>
  <c r="AF359" i="1"/>
  <c r="AE359" i="1"/>
  <c r="AD359" i="1"/>
  <c r="Z359" i="1"/>
  <c r="J359" i="1"/>
  <c r="AL359" i="1" s="1"/>
  <c r="BJ358" i="1"/>
  <c r="BF358" i="1"/>
  <c r="BD358" i="1"/>
  <c r="AP358" i="1"/>
  <c r="AX358" i="1" s="1"/>
  <c r="AO358" i="1"/>
  <c r="AW358" i="1" s="1"/>
  <c r="AK358" i="1"/>
  <c r="AJ358" i="1"/>
  <c r="AH358" i="1"/>
  <c r="AG358" i="1"/>
  <c r="AF358" i="1"/>
  <c r="AE358" i="1"/>
  <c r="AD358" i="1"/>
  <c r="Z358" i="1"/>
  <c r="J358" i="1"/>
  <c r="AL358" i="1" s="1"/>
  <c r="I358" i="1"/>
  <c r="BJ357" i="1"/>
  <c r="BH357" i="1"/>
  <c r="AB357" i="1" s="1"/>
  <c r="BF357" i="1"/>
  <c r="BD357" i="1"/>
  <c r="AP357" i="1"/>
  <c r="AO357" i="1"/>
  <c r="H357" i="1" s="1"/>
  <c r="AK357" i="1"/>
  <c r="AJ357" i="1"/>
  <c r="AH357" i="1"/>
  <c r="AG357" i="1"/>
  <c r="AF357" i="1"/>
  <c r="AE357" i="1"/>
  <c r="AD357" i="1"/>
  <c r="Z357" i="1"/>
  <c r="J357" i="1"/>
  <c r="AL357" i="1" s="1"/>
  <c r="BJ356" i="1"/>
  <c r="BF356" i="1"/>
  <c r="BD356" i="1"/>
  <c r="AP356" i="1"/>
  <c r="AO356" i="1"/>
  <c r="AK356" i="1"/>
  <c r="AJ356" i="1"/>
  <c r="AH356" i="1"/>
  <c r="AG356" i="1"/>
  <c r="AF356" i="1"/>
  <c r="AE356" i="1"/>
  <c r="AD356" i="1"/>
  <c r="Z356" i="1"/>
  <c r="J356" i="1"/>
  <c r="AL356" i="1" s="1"/>
  <c r="BJ355" i="1"/>
  <c r="BF355" i="1"/>
  <c r="BD355" i="1"/>
  <c r="AW355" i="1"/>
  <c r="AP355" i="1"/>
  <c r="AO355" i="1"/>
  <c r="BH355" i="1" s="1"/>
  <c r="AB355" i="1" s="1"/>
  <c r="AK355" i="1"/>
  <c r="AJ355" i="1"/>
  <c r="AH355" i="1"/>
  <c r="AG355" i="1"/>
  <c r="AF355" i="1"/>
  <c r="AE355" i="1"/>
  <c r="AD355" i="1"/>
  <c r="Z355" i="1"/>
  <c r="J355" i="1"/>
  <c r="AL355" i="1" s="1"/>
  <c r="BJ354" i="1"/>
  <c r="BF354" i="1"/>
  <c r="BD354" i="1"/>
  <c r="AP354" i="1"/>
  <c r="BI354" i="1" s="1"/>
  <c r="AO354" i="1"/>
  <c r="AL354" i="1"/>
  <c r="AK354" i="1"/>
  <c r="AJ354" i="1"/>
  <c r="AH354" i="1"/>
  <c r="AG354" i="1"/>
  <c r="AF354" i="1"/>
  <c r="AE354" i="1"/>
  <c r="AD354" i="1"/>
  <c r="AC354" i="1"/>
  <c r="Z354" i="1"/>
  <c r="J354" i="1"/>
  <c r="I354" i="1"/>
  <c r="BJ353" i="1"/>
  <c r="BF353" i="1"/>
  <c r="BD353" i="1"/>
  <c r="AP353" i="1"/>
  <c r="I353" i="1" s="1"/>
  <c r="AO353" i="1"/>
  <c r="AK353" i="1"/>
  <c r="AJ353" i="1"/>
  <c r="AH353" i="1"/>
  <c r="AG353" i="1"/>
  <c r="AF353" i="1"/>
  <c r="AE353" i="1"/>
  <c r="AD353" i="1"/>
  <c r="Z353" i="1"/>
  <c r="J353" i="1"/>
  <c r="AL353" i="1" s="1"/>
  <c r="BJ352" i="1"/>
  <c r="BF352" i="1"/>
  <c r="BD352" i="1"/>
  <c r="AP352" i="1"/>
  <c r="AO352" i="1"/>
  <c r="AK352" i="1"/>
  <c r="AJ352" i="1"/>
  <c r="AH352" i="1"/>
  <c r="AG352" i="1"/>
  <c r="AF352" i="1"/>
  <c r="AE352" i="1"/>
  <c r="AD352" i="1"/>
  <c r="Z352" i="1"/>
  <c r="J352" i="1"/>
  <c r="AL352" i="1" s="1"/>
  <c r="BJ351" i="1"/>
  <c r="BF351" i="1"/>
  <c r="BD351" i="1"/>
  <c r="AP351" i="1"/>
  <c r="AO351" i="1"/>
  <c r="AK351" i="1"/>
  <c r="AJ351" i="1"/>
  <c r="AH351" i="1"/>
  <c r="AG351" i="1"/>
  <c r="AF351" i="1"/>
  <c r="AE351" i="1"/>
  <c r="AD351" i="1"/>
  <c r="Z351" i="1"/>
  <c r="J351" i="1"/>
  <c r="AL351" i="1" s="1"/>
  <c r="BJ350" i="1"/>
  <c r="BF350" i="1"/>
  <c r="BD350" i="1"/>
  <c r="AP350" i="1"/>
  <c r="BI350" i="1" s="1"/>
  <c r="AC350" i="1" s="1"/>
  <c r="AO350" i="1"/>
  <c r="AK350" i="1"/>
  <c r="AJ350" i="1"/>
  <c r="AH350" i="1"/>
  <c r="AG350" i="1"/>
  <c r="AF350" i="1"/>
  <c r="AE350" i="1"/>
  <c r="AD350" i="1"/>
  <c r="Z350" i="1"/>
  <c r="J350" i="1"/>
  <c r="AL350" i="1" s="1"/>
  <c r="BJ349" i="1"/>
  <c r="BF349" i="1"/>
  <c r="BD349" i="1"/>
  <c r="AP349" i="1"/>
  <c r="AX349" i="1" s="1"/>
  <c r="AO349" i="1"/>
  <c r="AK349" i="1"/>
  <c r="AJ349" i="1"/>
  <c r="AH349" i="1"/>
  <c r="AG349" i="1"/>
  <c r="AF349" i="1"/>
  <c r="AE349" i="1"/>
  <c r="AD349" i="1"/>
  <c r="Z349" i="1"/>
  <c r="J349" i="1"/>
  <c r="AL349" i="1" s="1"/>
  <c r="BJ348" i="1"/>
  <c r="BF348" i="1"/>
  <c r="BD348" i="1"/>
  <c r="AP348" i="1"/>
  <c r="AO348" i="1"/>
  <c r="AW348" i="1" s="1"/>
  <c r="AK348" i="1"/>
  <c r="AJ348" i="1"/>
  <c r="AH348" i="1"/>
  <c r="AG348" i="1"/>
  <c r="AF348" i="1"/>
  <c r="AE348" i="1"/>
  <c r="AD348" i="1"/>
  <c r="Z348" i="1"/>
  <c r="J348" i="1"/>
  <c r="AL348" i="1" s="1"/>
  <c r="BJ347" i="1"/>
  <c r="BF347" i="1"/>
  <c r="BD347" i="1"/>
  <c r="AP347" i="1"/>
  <c r="AX347" i="1" s="1"/>
  <c r="AO347" i="1"/>
  <c r="BH347" i="1" s="1"/>
  <c r="AB347" i="1" s="1"/>
  <c r="AK347" i="1"/>
  <c r="AJ347" i="1"/>
  <c r="AH347" i="1"/>
  <c r="AG347" i="1"/>
  <c r="AF347" i="1"/>
  <c r="AE347" i="1"/>
  <c r="AD347" i="1"/>
  <c r="Z347" i="1"/>
  <c r="J347" i="1"/>
  <c r="AL347" i="1" s="1"/>
  <c r="I347" i="1"/>
  <c r="BJ346" i="1"/>
  <c r="BF346" i="1"/>
  <c r="BD346" i="1"/>
  <c r="AW346" i="1"/>
  <c r="AP346" i="1"/>
  <c r="BI346" i="1" s="1"/>
  <c r="AC346" i="1" s="1"/>
  <c r="AO346" i="1"/>
  <c r="BH346" i="1" s="1"/>
  <c r="AB346" i="1" s="1"/>
  <c r="AK346" i="1"/>
  <c r="AJ346" i="1"/>
  <c r="AH346" i="1"/>
  <c r="AG346" i="1"/>
  <c r="AF346" i="1"/>
  <c r="AE346" i="1"/>
  <c r="AD346" i="1"/>
  <c r="Z346" i="1"/>
  <c r="J346" i="1"/>
  <c r="AL346" i="1" s="1"/>
  <c r="I346" i="1"/>
  <c r="H346" i="1"/>
  <c r="BJ345" i="1"/>
  <c r="BF345" i="1"/>
  <c r="BD345" i="1"/>
  <c r="AP345" i="1"/>
  <c r="AO345" i="1"/>
  <c r="H345" i="1" s="1"/>
  <c r="AK345" i="1"/>
  <c r="AJ345" i="1"/>
  <c r="AH345" i="1"/>
  <c r="AG345" i="1"/>
  <c r="AF345" i="1"/>
  <c r="AE345" i="1"/>
  <c r="AD345" i="1"/>
  <c r="Z345" i="1"/>
  <c r="J345" i="1"/>
  <c r="AL345" i="1" s="1"/>
  <c r="BJ344" i="1"/>
  <c r="BF344" i="1"/>
  <c r="BD344" i="1"/>
  <c r="AP344" i="1"/>
  <c r="AO344" i="1"/>
  <c r="AK344" i="1"/>
  <c r="AJ344" i="1"/>
  <c r="AH344" i="1"/>
  <c r="AG344" i="1"/>
  <c r="AF344" i="1"/>
  <c r="AE344" i="1"/>
  <c r="AD344" i="1"/>
  <c r="Z344" i="1"/>
  <c r="J344" i="1"/>
  <c r="AL344" i="1" s="1"/>
  <c r="BJ343" i="1"/>
  <c r="BF343" i="1"/>
  <c r="BD343" i="1"/>
  <c r="AP343" i="1"/>
  <c r="AX343" i="1" s="1"/>
  <c r="AO343" i="1"/>
  <c r="AK343" i="1"/>
  <c r="AJ343" i="1"/>
  <c r="AH343" i="1"/>
  <c r="AG343" i="1"/>
  <c r="AF343" i="1"/>
  <c r="AE343" i="1"/>
  <c r="AD343" i="1"/>
  <c r="Z343" i="1"/>
  <c r="J343" i="1"/>
  <c r="AL343" i="1" s="1"/>
  <c r="I343" i="1"/>
  <c r="H343" i="1"/>
  <c r="BJ342" i="1"/>
  <c r="BF342" i="1"/>
  <c r="BD342" i="1"/>
  <c r="AW342" i="1"/>
  <c r="AP342" i="1"/>
  <c r="AO342" i="1"/>
  <c r="BH342" i="1" s="1"/>
  <c r="AB342" i="1" s="1"/>
  <c r="AK342" i="1"/>
  <c r="AJ342" i="1"/>
  <c r="AH342" i="1"/>
  <c r="AG342" i="1"/>
  <c r="AF342" i="1"/>
  <c r="AE342" i="1"/>
  <c r="AD342" i="1"/>
  <c r="Z342" i="1"/>
  <c r="J342" i="1"/>
  <c r="AL342" i="1" s="1"/>
  <c r="BJ341" i="1"/>
  <c r="BF341" i="1"/>
  <c r="BD341" i="1"/>
  <c r="AP341" i="1"/>
  <c r="AO341" i="1"/>
  <c r="AK341" i="1"/>
  <c r="AJ341" i="1"/>
  <c r="AH341" i="1"/>
  <c r="AG341" i="1"/>
  <c r="AF341" i="1"/>
  <c r="AE341" i="1"/>
  <c r="AD341" i="1"/>
  <c r="Z341" i="1"/>
  <c r="J341" i="1"/>
  <c r="AL341" i="1" s="1"/>
  <c r="BJ340" i="1"/>
  <c r="BF340" i="1"/>
  <c r="BD340" i="1"/>
  <c r="AP340" i="1"/>
  <c r="AO340" i="1"/>
  <c r="AK340" i="1"/>
  <c r="AJ340" i="1"/>
  <c r="AH340" i="1"/>
  <c r="AG340" i="1"/>
  <c r="AF340" i="1"/>
  <c r="AE340" i="1"/>
  <c r="AD340" i="1"/>
  <c r="Z340" i="1"/>
  <c r="J340" i="1"/>
  <c r="AL340" i="1" s="1"/>
  <c r="BJ339" i="1"/>
  <c r="BF339" i="1"/>
  <c r="BD339" i="1"/>
  <c r="AP339" i="1"/>
  <c r="AO339" i="1"/>
  <c r="H339" i="1" s="1"/>
  <c r="AK339" i="1"/>
  <c r="AJ339" i="1"/>
  <c r="AH339" i="1"/>
  <c r="AG339" i="1"/>
  <c r="AF339" i="1"/>
  <c r="AE339" i="1"/>
  <c r="AD339" i="1"/>
  <c r="Z339" i="1"/>
  <c r="J339" i="1"/>
  <c r="AL339" i="1" s="1"/>
  <c r="BJ338" i="1"/>
  <c r="BF338" i="1"/>
  <c r="BD338" i="1"/>
  <c r="AP338" i="1"/>
  <c r="AO338" i="1"/>
  <c r="AK338" i="1"/>
  <c r="AJ338" i="1"/>
  <c r="AH338" i="1"/>
  <c r="AG338" i="1"/>
  <c r="AF338" i="1"/>
  <c r="AE338" i="1"/>
  <c r="AD338" i="1"/>
  <c r="Z338" i="1"/>
  <c r="J338" i="1"/>
  <c r="AL338" i="1" s="1"/>
  <c r="BJ337" i="1"/>
  <c r="BF337" i="1"/>
  <c r="BD337" i="1"/>
  <c r="AP337" i="1"/>
  <c r="BI337" i="1" s="1"/>
  <c r="AC337" i="1" s="1"/>
  <c r="AO337" i="1"/>
  <c r="AK337" i="1"/>
  <c r="AJ337" i="1"/>
  <c r="AH337" i="1"/>
  <c r="AG337" i="1"/>
  <c r="AF337" i="1"/>
  <c r="AE337" i="1"/>
  <c r="AD337" i="1"/>
  <c r="Z337" i="1"/>
  <c r="J337" i="1"/>
  <c r="AL337" i="1" s="1"/>
  <c r="BJ336" i="1"/>
  <c r="BF336" i="1"/>
  <c r="BD336" i="1"/>
  <c r="AP336" i="1"/>
  <c r="AO336" i="1"/>
  <c r="AW336" i="1" s="1"/>
  <c r="AK336" i="1"/>
  <c r="AJ336" i="1"/>
  <c r="AH336" i="1"/>
  <c r="AG336" i="1"/>
  <c r="AF336" i="1"/>
  <c r="AE336" i="1"/>
  <c r="AD336" i="1"/>
  <c r="Z336" i="1"/>
  <c r="J336" i="1"/>
  <c r="AL336" i="1" s="1"/>
  <c r="BJ335" i="1"/>
  <c r="BF335" i="1"/>
  <c r="BD335" i="1"/>
  <c r="AP335" i="1"/>
  <c r="AO335" i="1"/>
  <c r="BH335" i="1" s="1"/>
  <c r="AL335" i="1"/>
  <c r="AK335" i="1"/>
  <c r="AJ335" i="1"/>
  <c r="AH335" i="1"/>
  <c r="AG335" i="1"/>
  <c r="AF335" i="1"/>
  <c r="AE335" i="1"/>
  <c r="AD335" i="1"/>
  <c r="AB335" i="1"/>
  <c r="Z335" i="1"/>
  <c r="J335" i="1"/>
  <c r="H335" i="1"/>
  <c r="BJ334" i="1"/>
  <c r="BF334" i="1"/>
  <c r="BD334" i="1"/>
  <c r="AP334" i="1"/>
  <c r="AO334" i="1"/>
  <c r="AK334" i="1"/>
  <c r="AJ334" i="1"/>
  <c r="AH334" i="1"/>
  <c r="AG334" i="1"/>
  <c r="AF334" i="1"/>
  <c r="AE334" i="1"/>
  <c r="AD334" i="1"/>
  <c r="Z334" i="1"/>
  <c r="J334" i="1"/>
  <c r="AL334" i="1" s="1"/>
  <c r="BJ333" i="1"/>
  <c r="BF333" i="1"/>
  <c r="BD333" i="1"/>
  <c r="AP333" i="1"/>
  <c r="AX333" i="1" s="1"/>
  <c r="AO333" i="1"/>
  <c r="AK333" i="1"/>
  <c r="AJ333" i="1"/>
  <c r="AH333" i="1"/>
  <c r="AG333" i="1"/>
  <c r="AF333" i="1"/>
  <c r="AE333" i="1"/>
  <c r="AD333" i="1"/>
  <c r="Z333" i="1"/>
  <c r="J333" i="1"/>
  <c r="AL333" i="1" s="1"/>
  <c r="BJ332" i="1"/>
  <c r="BF332" i="1"/>
  <c r="BD332" i="1"/>
  <c r="AP332" i="1"/>
  <c r="AO332" i="1"/>
  <c r="AW332" i="1" s="1"/>
  <c r="AK332" i="1"/>
  <c r="AJ332" i="1"/>
  <c r="AH332" i="1"/>
  <c r="AG332" i="1"/>
  <c r="AF332" i="1"/>
  <c r="AE332" i="1"/>
  <c r="AD332" i="1"/>
  <c r="Z332" i="1"/>
  <c r="J332" i="1"/>
  <c r="AL332" i="1" s="1"/>
  <c r="BJ331" i="1"/>
  <c r="BF331" i="1"/>
  <c r="BD331" i="1"/>
  <c r="AP331" i="1"/>
  <c r="AO331" i="1"/>
  <c r="H331" i="1" s="1"/>
  <c r="AK331" i="1"/>
  <c r="AJ331" i="1"/>
  <c r="AH331" i="1"/>
  <c r="AG331" i="1"/>
  <c r="AF331" i="1"/>
  <c r="AE331" i="1"/>
  <c r="AD331" i="1"/>
  <c r="Z331" i="1"/>
  <c r="J331" i="1"/>
  <c r="AL331" i="1" s="1"/>
  <c r="BJ330" i="1"/>
  <c r="BF330" i="1"/>
  <c r="BD330" i="1"/>
  <c r="AP330" i="1"/>
  <c r="AO330" i="1"/>
  <c r="AK330" i="1"/>
  <c r="AJ330" i="1"/>
  <c r="AH330" i="1"/>
  <c r="AG330" i="1"/>
  <c r="AF330" i="1"/>
  <c r="AE330" i="1"/>
  <c r="AD330" i="1"/>
  <c r="Z330" i="1"/>
  <c r="J330" i="1"/>
  <c r="AL330" i="1" s="1"/>
  <c r="BJ329" i="1"/>
  <c r="BF329" i="1"/>
  <c r="BD329" i="1"/>
  <c r="AP329" i="1"/>
  <c r="AO329" i="1"/>
  <c r="AK329" i="1"/>
  <c r="AJ329" i="1"/>
  <c r="AH329" i="1"/>
  <c r="AG329" i="1"/>
  <c r="AF329" i="1"/>
  <c r="AE329" i="1"/>
  <c r="AD329" i="1"/>
  <c r="Z329" i="1"/>
  <c r="J329" i="1"/>
  <c r="BJ327" i="1"/>
  <c r="BF327" i="1"/>
  <c r="BD327" i="1"/>
  <c r="AP327" i="1"/>
  <c r="BI327" i="1" s="1"/>
  <c r="AO327" i="1"/>
  <c r="AK327" i="1"/>
  <c r="AJ327" i="1"/>
  <c r="AH327" i="1"/>
  <c r="AG327" i="1"/>
  <c r="AF327" i="1"/>
  <c r="AE327" i="1"/>
  <c r="AD327" i="1"/>
  <c r="AC327" i="1"/>
  <c r="Z327" i="1"/>
  <c r="J327" i="1"/>
  <c r="AL327" i="1" s="1"/>
  <c r="I327" i="1"/>
  <c r="BJ326" i="1"/>
  <c r="BF326" i="1"/>
  <c r="BD326" i="1"/>
  <c r="AP326" i="1"/>
  <c r="AO326" i="1"/>
  <c r="AK326" i="1"/>
  <c r="AJ326" i="1"/>
  <c r="AH326" i="1"/>
  <c r="AG326" i="1"/>
  <c r="AF326" i="1"/>
  <c r="AE326" i="1"/>
  <c r="AD326" i="1"/>
  <c r="Z326" i="1"/>
  <c r="J326" i="1"/>
  <c r="AL326" i="1" s="1"/>
  <c r="BJ325" i="1"/>
  <c r="BF325" i="1"/>
  <c r="BD325" i="1"/>
  <c r="AP325" i="1"/>
  <c r="AO325" i="1"/>
  <c r="AK325" i="1"/>
  <c r="AJ325" i="1"/>
  <c r="AH325" i="1"/>
  <c r="AG325" i="1"/>
  <c r="AF325" i="1"/>
  <c r="AE325" i="1"/>
  <c r="AD325" i="1"/>
  <c r="Z325" i="1"/>
  <c r="J325" i="1"/>
  <c r="AL325" i="1" s="1"/>
  <c r="BJ324" i="1"/>
  <c r="BF324" i="1"/>
  <c r="BD324" i="1"/>
  <c r="AP324" i="1"/>
  <c r="AO324" i="1"/>
  <c r="AK324" i="1"/>
  <c r="AJ324" i="1"/>
  <c r="AH324" i="1"/>
  <c r="AG324" i="1"/>
  <c r="AF324" i="1"/>
  <c r="AE324" i="1"/>
  <c r="AD324" i="1"/>
  <c r="Z324" i="1"/>
  <c r="J324" i="1"/>
  <c r="AL324" i="1" s="1"/>
  <c r="BJ323" i="1"/>
  <c r="BF323" i="1"/>
  <c r="BD323" i="1"/>
  <c r="AP323" i="1"/>
  <c r="BI323" i="1" s="1"/>
  <c r="AC323" i="1" s="1"/>
  <c r="AO323" i="1"/>
  <c r="AK323" i="1"/>
  <c r="AJ323" i="1"/>
  <c r="AH323" i="1"/>
  <c r="AG323" i="1"/>
  <c r="AF323" i="1"/>
  <c r="AE323" i="1"/>
  <c r="AD323" i="1"/>
  <c r="Z323" i="1"/>
  <c r="J323" i="1"/>
  <c r="AL323" i="1" s="1"/>
  <c r="BJ322" i="1"/>
  <c r="BF322" i="1"/>
  <c r="BD322" i="1"/>
  <c r="AP322" i="1"/>
  <c r="AX322" i="1" s="1"/>
  <c r="AO322" i="1"/>
  <c r="AK322" i="1"/>
  <c r="AJ322" i="1"/>
  <c r="AH322" i="1"/>
  <c r="AG322" i="1"/>
  <c r="AF322" i="1"/>
  <c r="AE322" i="1"/>
  <c r="AD322" i="1"/>
  <c r="Z322" i="1"/>
  <c r="J322" i="1"/>
  <c r="AL322" i="1" s="1"/>
  <c r="BJ321" i="1"/>
  <c r="BF321" i="1"/>
  <c r="BD321" i="1"/>
  <c r="AP321" i="1"/>
  <c r="AO321" i="1"/>
  <c r="AW321" i="1" s="1"/>
  <c r="AK321" i="1"/>
  <c r="AJ321" i="1"/>
  <c r="AH321" i="1"/>
  <c r="AG321" i="1"/>
  <c r="AF321" i="1"/>
  <c r="AE321" i="1"/>
  <c r="AD321" i="1"/>
  <c r="Z321" i="1"/>
  <c r="J321" i="1"/>
  <c r="AL321" i="1" s="1"/>
  <c r="BJ320" i="1"/>
  <c r="BF320" i="1"/>
  <c r="BD320" i="1"/>
  <c r="AW320" i="1"/>
  <c r="AP320" i="1"/>
  <c r="AX320" i="1" s="1"/>
  <c r="AO320" i="1"/>
  <c r="BH320" i="1" s="1"/>
  <c r="AK320" i="1"/>
  <c r="AJ320" i="1"/>
  <c r="AH320" i="1"/>
  <c r="AG320" i="1"/>
  <c r="AF320" i="1"/>
  <c r="AE320" i="1"/>
  <c r="AD320" i="1"/>
  <c r="AB320" i="1"/>
  <c r="Z320" i="1"/>
  <c r="J320" i="1"/>
  <c r="AL320" i="1" s="1"/>
  <c r="H320" i="1"/>
  <c r="BJ319" i="1"/>
  <c r="BF319" i="1"/>
  <c r="BD319" i="1"/>
  <c r="AP319" i="1"/>
  <c r="AO319" i="1"/>
  <c r="AK319" i="1"/>
  <c r="AJ319" i="1"/>
  <c r="AH319" i="1"/>
  <c r="AG319" i="1"/>
  <c r="AF319" i="1"/>
  <c r="AE319" i="1"/>
  <c r="AD319" i="1"/>
  <c r="Z319" i="1"/>
  <c r="J319" i="1"/>
  <c r="AL319" i="1" s="1"/>
  <c r="BJ318" i="1"/>
  <c r="BF318" i="1"/>
  <c r="BD318" i="1"/>
  <c r="AP318" i="1"/>
  <c r="AO318" i="1"/>
  <c r="AK318" i="1"/>
  <c r="AJ318" i="1"/>
  <c r="AH318" i="1"/>
  <c r="AG318" i="1"/>
  <c r="AF318" i="1"/>
  <c r="AE318" i="1"/>
  <c r="AD318" i="1"/>
  <c r="Z318" i="1"/>
  <c r="J318" i="1"/>
  <c r="AL318" i="1" s="1"/>
  <c r="BJ317" i="1"/>
  <c r="BF317" i="1"/>
  <c r="BD317" i="1"/>
  <c r="AP317" i="1"/>
  <c r="BI317" i="1" s="1"/>
  <c r="AC317" i="1" s="1"/>
  <c r="AO317" i="1"/>
  <c r="AK317" i="1"/>
  <c r="AJ317" i="1"/>
  <c r="AH317" i="1"/>
  <c r="AG317" i="1"/>
  <c r="AF317" i="1"/>
  <c r="AE317" i="1"/>
  <c r="AD317" i="1"/>
  <c r="Z317" i="1"/>
  <c r="J317" i="1"/>
  <c r="AL317" i="1" s="1"/>
  <c r="BJ316" i="1"/>
  <c r="BF316" i="1"/>
  <c r="BD316" i="1"/>
  <c r="AP316" i="1"/>
  <c r="AO316" i="1"/>
  <c r="AK316" i="1"/>
  <c r="AJ316" i="1"/>
  <c r="AH316" i="1"/>
  <c r="AG316" i="1"/>
  <c r="AF316" i="1"/>
  <c r="AE316" i="1"/>
  <c r="AD316" i="1"/>
  <c r="Z316" i="1"/>
  <c r="J316" i="1"/>
  <c r="AL316" i="1" s="1"/>
  <c r="BJ315" i="1"/>
  <c r="BF315" i="1"/>
  <c r="BD315" i="1"/>
  <c r="AW315" i="1"/>
  <c r="AP315" i="1"/>
  <c r="AO315" i="1"/>
  <c r="BH315" i="1" s="1"/>
  <c r="AB315" i="1" s="1"/>
  <c r="AK315" i="1"/>
  <c r="AJ315" i="1"/>
  <c r="AH315" i="1"/>
  <c r="AG315" i="1"/>
  <c r="AF315" i="1"/>
  <c r="AE315" i="1"/>
  <c r="AD315" i="1"/>
  <c r="Z315" i="1"/>
  <c r="J315" i="1"/>
  <c r="AL315" i="1" s="1"/>
  <c r="H315" i="1"/>
  <c r="BJ314" i="1"/>
  <c r="BF314" i="1"/>
  <c r="BD314" i="1"/>
  <c r="AP314" i="1"/>
  <c r="I314" i="1" s="1"/>
  <c r="AO314" i="1"/>
  <c r="AK314" i="1"/>
  <c r="AJ314" i="1"/>
  <c r="AH314" i="1"/>
  <c r="AG314" i="1"/>
  <c r="AF314" i="1"/>
  <c r="AE314" i="1"/>
  <c r="AD314" i="1"/>
  <c r="Z314" i="1"/>
  <c r="J314" i="1"/>
  <c r="AL314" i="1" s="1"/>
  <c r="BJ313" i="1"/>
  <c r="BF313" i="1"/>
  <c r="BD313" i="1"/>
  <c r="AP313" i="1"/>
  <c r="AO313" i="1"/>
  <c r="AK313" i="1"/>
  <c r="AJ313" i="1"/>
  <c r="AH313" i="1"/>
  <c r="AG313" i="1"/>
  <c r="AF313" i="1"/>
  <c r="AE313" i="1"/>
  <c r="AD313" i="1"/>
  <c r="Z313" i="1"/>
  <c r="J313" i="1"/>
  <c r="AL313" i="1" s="1"/>
  <c r="BJ312" i="1"/>
  <c r="BF312" i="1"/>
  <c r="BD312" i="1"/>
  <c r="AP312" i="1"/>
  <c r="AO312" i="1"/>
  <c r="AK312" i="1"/>
  <c r="AJ312" i="1"/>
  <c r="AH312" i="1"/>
  <c r="AG312" i="1"/>
  <c r="AF312" i="1"/>
  <c r="AE312" i="1"/>
  <c r="AD312" i="1"/>
  <c r="Z312" i="1"/>
  <c r="J312" i="1"/>
  <c r="AL312" i="1" s="1"/>
  <c r="BJ311" i="1"/>
  <c r="BF311" i="1"/>
  <c r="BD311" i="1"/>
  <c r="AP311" i="1"/>
  <c r="BI311" i="1" s="1"/>
  <c r="AO311" i="1"/>
  <c r="AK311" i="1"/>
  <c r="AJ311" i="1"/>
  <c r="AH311" i="1"/>
  <c r="AG311" i="1"/>
  <c r="AF311" i="1"/>
  <c r="AE311" i="1"/>
  <c r="AD311" i="1"/>
  <c r="AC311" i="1"/>
  <c r="Z311" i="1"/>
  <c r="J311" i="1"/>
  <c r="AL311" i="1" s="1"/>
  <c r="I311" i="1"/>
  <c r="BJ310" i="1"/>
  <c r="BF310" i="1"/>
  <c r="BD310" i="1"/>
  <c r="AP310" i="1"/>
  <c r="AX310" i="1" s="1"/>
  <c r="AO310" i="1"/>
  <c r="BH310" i="1" s="1"/>
  <c r="AB310" i="1" s="1"/>
  <c r="AK310" i="1"/>
  <c r="AJ310" i="1"/>
  <c r="AH310" i="1"/>
  <c r="AG310" i="1"/>
  <c r="AF310" i="1"/>
  <c r="AE310" i="1"/>
  <c r="AD310" i="1"/>
  <c r="Z310" i="1"/>
  <c r="J310" i="1"/>
  <c r="AL310" i="1" s="1"/>
  <c r="BJ309" i="1"/>
  <c r="BF309" i="1"/>
  <c r="BD309" i="1"/>
  <c r="AP309" i="1"/>
  <c r="AO309" i="1"/>
  <c r="AK309" i="1"/>
  <c r="AJ309" i="1"/>
  <c r="AH309" i="1"/>
  <c r="AG309" i="1"/>
  <c r="AF309" i="1"/>
  <c r="AE309" i="1"/>
  <c r="AD309" i="1"/>
  <c r="Z309" i="1"/>
  <c r="J309" i="1"/>
  <c r="AL309" i="1" s="1"/>
  <c r="BJ308" i="1"/>
  <c r="BF308" i="1"/>
  <c r="BD308" i="1"/>
  <c r="AP308" i="1"/>
  <c r="AO308" i="1"/>
  <c r="H308" i="1" s="1"/>
  <c r="AK308" i="1"/>
  <c r="AJ308" i="1"/>
  <c r="AH308" i="1"/>
  <c r="AG308" i="1"/>
  <c r="AF308" i="1"/>
  <c r="AE308" i="1"/>
  <c r="AD308" i="1"/>
  <c r="Z308" i="1"/>
  <c r="J308" i="1"/>
  <c r="AL308" i="1" s="1"/>
  <c r="BJ307" i="1"/>
  <c r="BF307" i="1"/>
  <c r="BD307" i="1"/>
  <c r="AP307" i="1"/>
  <c r="BI307" i="1" s="1"/>
  <c r="AC307" i="1" s="1"/>
  <c r="AO307" i="1"/>
  <c r="AK307" i="1"/>
  <c r="AJ307" i="1"/>
  <c r="AH307" i="1"/>
  <c r="AG307" i="1"/>
  <c r="AF307" i="1"/>
  <c r="AE307" i="1"/>
  <c r="AD307" i="1"/>
  <c r="Z307" i="1"/>
  <c r="J307" i="1"/>
  <c r="AL307" i="1" s="1"/>
  <c r="BJ306" i="1"/>
  <c r="BF306" i="1"/>
  <c r="BD306" i="1"/>
  <c r="AP306" i="1"/>
  <c r="AX306" i="1" s="1"/>
  <c r="AO306" i="1"/>
  <c r="AK306" i="1"/>
  <c r="AJ306" i="1"/>
  <c r="AH306" i="1"/>
  <c r="AG306" i="1"/>
  <c r="AF306" i="1"/>
  <c r="AE306" i="1"/>
  <c r="AD306" i="1"/>
  <c r="Z306" i="1"/>
  <c r="J306" i="1"/>
  <c r="AL306" i="1" s="1"/>
  <c r="BJ305" i="1"/>
  <c r="BF305" i="1"/>
  <c r="BD305" i="1"/>
  <c r="AP305" i="1"/>
  <c r="I305" i="1" s="1"/>
  <c r="AO305" i="1"/>
  <c r="AK305" i="1"/>
  <c r="AJ305" i="1"/>
  <c r="AH305" i="1"/>
  <c r="AG305" i="1"/>
  <c r="AF305" i="1"/>
  <c r="AE305" i="1"/>
  <c r="AD305" i="1"/>
  <c r="Z305" i="1"/>
  <c r="J305" i="1"/>
  <c r="AL305" i="1" s="1"/>
  <c r="BJ304" i="1"/>
  <c r="BF304" i="1"/>
  <c r="BD304" i="1"/>
  <c r="AP304" i="1"/>
  <c r="AX304" i="1" s="1"/>
  <c r="AO304" i="1"/>
  <c r="AK304" i="1"/>
  <c r="AJ304" i="1"/>
  <c r="AH304" i="1"/>
  <c r="AG304" i="1"/>
  <c r="AF304" i="1"/>
  <c r="AE304" i="1"/>
  <c r="AD304" i="1"/>
  <c r="Z304" i="1"/>
  <c r="J304" i="1"/>
  <c r="AL304" i="1" s="1"/>
  <c r="I304" i="1"/>
  <c r="BJ303" i="1"/>
  <c r="BF303" i="1"/>
  <c r="BD303" i="1"/>
  <c r="AX303" i="1"/>
  <c r="AP303" i="1"/>
  <c r="BI303" i="1" s="1"/>
  <c r="AC303" i="1" s="1"/>
  <c r="AO303" i="1"/>
  <c r="BH303" i="1" s="1"/>
  <c r="AB303" i="1" s="1"/>
  <c r="AK303" i="1"/>
  <c r="AJ303" i="1"/>
  <c r="AH303" i="1"/>
  <c r="AG303" i="1"/>
  <c r="AF303" i="1"/>
  <c r="AE303" i="1"/>
  <c r="AD303" i="1"/>
  <c r="Z303" i="1"/>
  <c r="J303" i="1"/>
  <c r="AL303" i="1" s="1"/>
  <c r="I303" i="1"/>
  <c r="H303" i="1"/>
  <c r="BJ302" i="1"/>
  <c r="BF302" i="1"/>
  <c r="BD302" i="1"/>
  <c r="AP302" i="1"/>
  <c r="AO302" i="1"/>
  <c r="H302" i="1" s="1"/>
  <c r="AK302" i="1"/>
  <c r="AJ302" i="1"/>
  <c r="AH302" i="1"/>
  <c r="AG302" i="1"/>
  <c r="AF302" i="1"/>
  <c r="AE302" i="1"/>
  <c r="AD302" i="1"/>
  <c r="Z302" i="1"/>
  <c r="J302" i="1"/>
  <c r="AL302" i="1" s="1"/>
  <c r="BJ301" i="1"/>
  <c r="BF301" i="1"/>
  <c r="BD301" i="1"/>
  <c r="AX301" i="1"/>
  <c r="AP301" i="1"/>
  <c r="I301" i="1" s="1"/>
  <c r="AO301" i="1"/>
  <c r="BH301" i="1" s="1"/>
  <c r="AB301" i="1" s="1"/>
  <c r="AK301" i="1"/>
  <c r="AJ301" i="1"/>
  <c r="AH301" i="1"/>
  <c r="AG301" i="1"/>
  <c r="AF301" i="1"/>
  <c r="AE301" i="1"/>
  <c r="AD301" i="1"/>
  <c r="Z301" i="1"/>
  <c r="J301" i="1"/>
  <c r="AL301" i="1" s="1"/>
  <c r="BJ300" i="1"/>
  <c r="BF300" i="1"/>
  <c r="BD300" i="1"/>
  <c r="AP300" i="1"/>
  <c r="AX300" i="1" s="1"/>
  <c r="AO300" i="1"/>
  <c r="BH300" i="1" s="1"/>
  <c r="AB300" i="1" s="1"/>
  <c r="AK300" i="1"/>
  <c r="AJ300" i="1"/>
  <c r="AH300" i="1"/>
  <c r="AG300" i="1"/>
  <c r="AF300" i="1"/>
  <c r="AE300" i="1"/>
  <c r="AD300" i="1"/>
  <c r="Z300" i="1"/>
  <c r="J300" i="1"/>
  <c r="AL300" i="1" s="1"/>
  <c r="BJ299" i="1"/>
  <c r="BH299" i="1"/>
  <c r="AB299" i="1" s="1"/>
  <c r="BF299" i="1"/>
  <c r="BD299" i="1"/>
  <c r="AX299" i="1"/>
  <c r="AW299" i="1"/>
  <c r="AP299" i="1"/>
  <c r="BI299" i="1" s="1"/>
  <c r="AO299" i="1"/>
  <c r="AL299" i="1"/>
  <c r="AK299" i="1"/>
  <c r="AJ299" i="1"/>
  <c r="AH299" i="1"/>
  <c r="AG299" i="1"/>
  <c r="AF299" i="1"/>
  <c r="AE299" i="1"/>
  <c r="AD299" i="1"/>
  <c r="AC299" i="1"/>
  <c r="Z299" i="1"/>
  <c r="J299" i="1"/>
  <c r="I299" i="1"/>
  <c r="H299" i="1"/>
  <c r="BJ298" i="1"/>
  <c r="BF298" i="1"/>
  <c r="BD298" i="1"/>
  <c r="AP298" i="1"/>
  <c r="I298" i="1" s="1"/>
  <c r="AO298" i="1"/>
  <c r="AK298" i="1"/>
  <c r="AJ298" i="1"/>
  <c r="AH298" i="1"/>
  <c r="AG298" i="1"/>
  <c r="AF298" i="1"/>
  <c r="AE298" i="1"/>
  <c r="AD298" i="1"/>
  <c r="Z298" i="1"/>
  <c r="J298" i="1"/>
  <c r="AL298" i="1" s="1"/>
  <c r="BJ297" i="1"/>
  <c r="BF297" i="1"/>
  <c r="BD297" i="1"/>
  <c r="AP297" i="1"/>
  <c r="BI297" i="1" s="1"/>
  <c r="AC297" i="1" s="1"/>
  <c r="AO297" i="1"/>
  <c r="H297" i="1" s="1"/>
  <c r="AK297" i="1"/>
  <c r="AJ297" i="1"/>
  <c r="AH297" i="1"/>
  <c r="AG297" i="1"/>
  <c r="AF297" i="1"/>
  <c r="AE297" i="1"/>
  <c r="AD297" i="1"/>
  <c r="Z297" i="1"/>
  <c r="J297" i="1"/>
  <c r="AL297" i="1" s="1"/>
  <c r="BJ296" i="1"/>
  <c r="BF296" i="1"/>
  <c r="BD296" i="1"/>
  <c r="AP296" i="1"/>
  <c r="AO296" i="1"/>
  <c r="AK296" i="1"/>
  <c r="AJ296" i="1"/>
  <c r="AH296" i="1"/>
  <c r="AG296" i="1"/>
  <c r="AF296" i="1"/>
  <c r="AE296" i="1"/>
  <c r="AD296" i="1"/>
  <c r="Z296" i="1"/>
  <c r="J296" i="1"/>
  <c r="AL296" i="1" s="1"/>
  <c r="BJ295" i="1"/>
  <c r="BF295" i="1"/>
  <c r="BD295" i="1"/>
  <c r="AP295" i="1"/>
  <c r="AO295" i="1"/>
  <c r="AK295" i="1"/>
  <c r="AJ295" i="1"/>
  <c r="AH295" i="1"/>
  <c r="AG295" i="1"/>
  <c r="AF295" i="1"/>
  <c r="AE295" i="1"/>
  <c r="AD295" i="1"/>
  <c r="Z295" i="1"/>
  <c r="J295" i="1"/>
  <c r="AL295" i="1" s="1"/>
  <c r="BJ294" i="1"/>
  <c r="BF294" i="1"/>
  <c r="BD294" i="1"/>
  <c r="AP294" i="1"/>
  <c r="AO294" i="1"/>
  <c r="BH294" i="1" s="1"/>
  <c r="AB294" i="1" s="1"/>
  <c r="AK294" i="1"/>
  <c r="AJ294" i="1"/>
  <c r="AH294" i="1"/>
  <c r="AG294" i="1"/>
  <c r="AF294" i="1"/>
  <c r="AE294" i="1"/>
  <c r="AD294" i="1"/>
  <c r="Z294" i="1"/>
  <c r="J294" i="1"/>
  <c r="AL294" i="1" s="1"/>
  <c r="BJ293" i="1"/>
  <c r="BF293" i="1"/>
  <c r="BD293" i="1"/>
  <c r="AP293" i="1"/>
  <c r="AO293" i="1"/>
  <c r="AK293" i="1"/>
  <c r="AJ293" i="1"/>
  <c r="AH293" i="1"/>
  <c r="AG293" i="1"/>
  <c r="AF293" i="1"/>
  <c r="AE293" i="1"/>
  <c r="AD293" i="1"/>
  <c r="Z293" i="1"/>
  <c r="J293" i="1"/>
  <c r="AL293" i="1" s="1"/>
  <c r="BJ292" i="1"/>
  <c r="BF292" i="1"/>
  <c r="BD292" i="1"/>
  <c r="AP292" i="1"/>
  <c r="AO292" i="1"/>
  <c r="H292" i="1" s="1"/>
  <c r="AK292" i="1"/>
  <c r="AJ292" i="1"/>
  <c r="AH292" i="1"/>
  <c r="AG292" i="1"/>
  <c r="AF292" i="1"/>
  <c r="AE292" i="1"/>
  <c r="AD292" i="1"/>
  <c r="Z292" i="1"/>
  <c r="J292" i="1"/>
  <c r="AL292" i="1" s="1"/>
  <c r="BJ291" i="1"/>
  <c r="BF291" i="1"/>
  <c r="BD291" i="1"/>
  <c r="AP291" i="1"/>
  <c r="AO291" i="1"/>
  <c r="AK291" i="1"/>
  <c r="AJ291" i="1"/>
  <c r="AH291" i="1"/>
  <c r="AG291" i="1"/>
  <c r="AF291" i="1"/>
  <c r="AE291" i="1"/>
  <c r="AD291" i="1"/>
  <c r="Z291" i="1"/>
  <c r="J291" i="1"/>
  <c r="AL291" i="1" s="1"/>
  <c r="BJ290" i="1"/>
  <c r="BF290" i="1"/>
  <c r="BD290" i="1"/>
  <c r="AP290" i="1"/>
  <c r="AX290" i="1" s="1"/>
  <c r="AO290" i="1"/>
  <c r="AK290" i="1"/>
  <c r="AJ290" i="1"/>
  <c r="AH290" i="1"/>
  <c r="AG290" i="1"/>
  <c r="AF290" i="1"/>
  <c r="AE290" i="1"/>
  <c r="AD290" i="1"/>
  <c r="Z290" i="1"/>
  <c r="J290" i="1"/>
  <c r="AL290" i="1" s="1"/>
  <c r="BJ289" i="1"/>
  <c r="BF289" i="1"/>
  <c r="BD289" i="1"/>
  <c r="AX289" i="1"/>
  <c r="AP289" i="1"/>
  <c r="I289" i="1" s="1"/>
  <c r="AO289" i="1"/>
  <c r="AK289" i="1"/>
  <c r="AJ289" i="1"/>
  <c r="AH289" i="1"/>
  <c r="AG289" i="1"/>
  <c r="AF289" i="1"/>
  <c r="AE289" i="1"/>
  <c r="AD289" i="1"/>
  <c r="Z289" i="1"/>
  <c r="J289" i="1"/>
  <c r="AL289" i="1" s="1"/>
  <c r="BJ288" i="1"/>
  <c r="BF288" i="1"/>
  <c r="BD288" i="1"/>
  <c r="AP288" i="1"/>
  <c r="AX288" i="1" s="1"/>
  <c r="AO288" i="1"/>
  <c r="BH288" i="1" s="1"/>
  <c r="AB288" i="1" s="1"/>
  <c r="AK288" i="1"/>
  <c r="AJ288" i="1"/>
  <c r="AH288" i="1"/>
  <c r="AG288" i="1"/>
  <c r="AF288" i="1"/>
  <c r="AE288" i="1"/>
  <c r="AD288" i="1"/>
  <c r="Z288" i="1"/>
  <c r="J288" i="1"/>
  <c r="AL288" i="1" s="1"/>
  <c r="H288" i="1"/>
  <c r="BJ287" i="1"/>
  <c r="BF287" i="1"/>
  <c r="BD287" i="1"/>
  <c r="AP287" i="1"/>
  <c r="AO287" i="1"/>
  <c r="AW287" i="1" s="1"/>
  <c r="AK287" i="1"/>
  <c r="AJ287" i="1"/>
  <c r="AH287" i="1"/>
  <c r="AG287" i="1"/>
  <c r="AF287" i="1"/>
  <c r="AE287" i="1"/>
  <c r="AD287" i="1"/>
  <c r="Z287" i="1"/>
  <c r="J287" i="1"/>
  <c r="AL287" i="1" s="1"/>
  <c r="BJ286" i="1"/>
  <c r="BH286" i="1"/>
  <c r="AB286" i="1" s="1"/>
  <c r="BF286" i="1"/>
  <c r="BD286" i="1"/>
  <c r="AP286" i="1"/>
  <c r="AO286" i="1"/>
  <c r="H286" i="1" s="1"/>
  <c r="AK286" i="1"/>
  <c r="AJ286" i="1"/>
  <c r="AH286" i="1"/>
  <c r="AG286" i="1"/>
  <c r="AF286" i="1"/>
  <c r="AE286" i="1"/>
  <c r="AD286" i="1"/>
  <c r="Z286" i="1"/>
  <c r="J286" i="1"/>
  <c r="AL286" i="1" s="1"/>
  <c r="BJ285" i="1"/>
  <c r="BI285" i="1"/>
  <c r="AC285" i="1" s="1"/>
  <c r="BF285" i="1"/>
  <c r="BD285" i="1"/>
  <c r="AP285" i="1"/>
  <c r="AO285" i="1"/>
  <c r="BH285" i="1" s="1"/>
  <c r="AB285" i="1" s="1"/>
  <c r="AK285" i="1"/>
  <c r="AJ285" i="1"/>
  <c r="AH285" i="1"/>
  <c r="AG285" i="1"/>
  <c r="AF285" i="1"/>
  <c r="AE285" i="1"/>
  <c r="AD285" i="1"/>
  <c r="Z285" i="1"/>
  <c r="J285" i="1"/>
  <c r="AL285" i="1" s="1"/>
  <c r="BJ284" i="1"/>
  <c r="BF284" i="1"/>
  <c r="BD284" i="1"/>
  <c r="AP284" i="1"/>
  <c r="AX284" i="1" s="1"/>
  <c r="AO284" i="1"/>
  <c r="AK284" i="1"/>
  <c r="AJ284" i="1"/>
  <c r="AH284" i="1"/>
  <c r="AG284" i="1"/>
  <c r="AF284" i="1"/>
  <c r="AE284" i="1"/>
  <c r="AD284" i="1"/>
  <c r="Z284" i="1"/>
  <c r="J284" i="1"/>
  <c r="AL284" i="1" s="1"/>
  <c r="I284" i="1"/>
  <c r="BJ283" i="1"/>
  <c r="BF283" i="1"/>
  <c r="BD283" i="1"/>
  <c r="AP283" i="1"/>
  <c r="AO283" i="1"/>
  <c r="AK283" i="1"/>
  <c r="AJ283" i="1"/>
  <c r="AH283" i="1"/>
  <c r="AG283" i="1"/>
  <c r="AF283" i="1"/>
  <c r="AE283" i="1"/>
  <c r="AD283" i="1"/>
  <c r="Z283" i="1"/>
  <c r="J283" i="1"/>
  <c r="AL283" i="1" s="1"/>
  <c r="BJ282" i="1"/>
  <c r="BH282" i="1"/>
  <c r="AB282" i="1" s="1"/>
  <c r="BF282" i="1"/>
  <c r="BD282" i="1"/>
  <c r="AP282" i="1"/>
  <c r="AO282" i="1"/>
  <c r="H282" i="1" s="1"/>
  <c r="AK282" i="1"/>
  <c r="AJ282" i="1"/>
  <c r="AH282" i="1"/>
  <c r="AG282" i="1"/>
  <c r="AF282" i="1"/>
  <c r="AE282" i="1"/>
  <c r="AD282" i="1"/>
  <c r="Z282" i="1"/>
  <c r="J282" i="1"/>
  <c r="AL282" i="1" s="1"/>
  <c r="BJ281" i="1"/>
  <c r="BF281" i="1"/>
  <c r="BD281" i="1"/>
  <c r="AP281" i="1"/>
  <c r="AO281" i="1"/>
  <c r="AK281" i="1"/>
  <c r="AJ281" i="1"/>
  <c r="AH281" i="1"/>
  <c r="AG281" i="1"/>
  <c r="AF281" i="1"/>
  <c r="AE281" i="1"/>
  <c r="AD281" i="1"/>
  <c r="Z281" i="1"/>
  <c r="J281" i="1"/>
  <c r="AL281" i="1" s="1"/>
  <c r="BJ280" i="1"/>
  <c r="BF280" i="1"/>
  <c r="BD280" i="1"/>
  <c r="AW280" i="1"/>
  <c r="AP280" i="1"/>
  <c r="AO280" i="1"/>
  <c r="BH280" i="1" s="1"/>
  <c r="AB280" i="1" s="1"/>
  <c r="AK280" i="1"/>
  <c r="AJ280" i="1"/>
  <c r="AH280" i="1"/>
  <c r="AG280" i="1"/>
  <c r="AF280" i="1"/>
  <c r="AE280" i="1"/>
  <c r="AD280" i="1"/>
  <c r="Z280" i="1"/>
  <c r="J280" i="1"/>
  <c r="AL280" i="1" s="1"/>
  <c r="BJ279" i="1"/>
  <c r="BH279" i="1"/>
  <c r="AB279" i="1" s="1"/>
  <c r="BF279" i="1"/>
  <c r="BD279" i="1"/>
  <c r="AW279" i="1"/>
  <c r="AP279" i="1"/>
  <c r="AO279" i="1"/>
  <c r="H279" i="1" s="1"/>
  <c r="AK279" i="1"/>
  <c r="AJ279" i="1"/>
  <c r="AH279" i="1"/>
  <c r="AG279" i="1"/>
  <c r="AF279" i="1"/>
  <c r="AE279" i="1"/>
  <c r="AD279" i="1"/>
  <c r="Z279" i="1"/>
  <c r="J279" i="1"/>
  <c r="AL279" i="1" s="1"/>
  <c r="BJ278" i="1"/>
  <c r="BF278" i="1"/>
  <c r="BD278" i="1"/>
  <c r="AP278" i="1"/>
  <c r="AO278" i="1"/>
  <c r="BH278" i="1" s="1"/>
  <c r="AB278" i="1" s="1"/>
  <c r="AK278" i="1"/>
  <c r="AJ278" i="1"/>
  <c r="AH278" i="1"/>
  <c r="AG278" i="1"/>
  <c r="AF278" i="1"/>
  <c r="AE278" i="1"/>
  <c r="AD278" i="1"/>
  <c r="Z278" i="1"/>
  <c r="J278" i="1"/>
  <c r="AL278" i="1" s="1"/>
  <c r="BJ277" i="1"/>
  <c r="BF277" i="1"/>
  <c r="BD277" i="1"/>
  <c r="AP277" i="1"/>
  <c r="AO277" i="1"/>
  <c r="AW277" i="1" s="1"/>
  <c r="AK277" i="1"/>
  <c r="AJ277" i="1"/>
  <c r="AH277" i="1"/>
  <c r="AG277" i="1"/>
  <c r="AF277" i="1"/>
  <c r="AE277" i="1"/>
  <c r="AD277" i="1"/>
  <c r="Z277" i="1"/>
  <c r="J277" i="1"/>
  <c r="AL277" i="1" s="1"/>
  <c r="H277" i="1"/>
  <c r="BJ276" i="1"/>
  <c r="BF276" i="1"/>
  <c r="BD276" i="1"/>
  <c r="AW276" i="1"/>
  <c r="AP276" i="1"/>
  <c r="AO276" i="1"/>
  <c r="BH276" i="1" s="1"/>
  <c r="AK276" i="1"/>
  <c r="AJ276" i="1"/>
  <c r="AH276" i="1"/>
  <c r="AG276" i="1"/>
  <c r="AF276" i="1"/>
  <c r="AE276" i="1"/>
  <c r="AD276" i="1"/>
  <c r="AB276" i="1"/>
  <c r="Z276" i="1"/>
  <c r="J276" i="1"/>
  <c r="AL276" i="1" s="1"/>
  <c r="H276" i="1"/>
  <c r="BJ275" i="1"/>
  <c r="BF275" i="1"/>
  <c r="BD275" i="1"/>
  <c r="AP275" i="1"/>
  <c r="AO275" i="1"/>
  <c r="AK275" i="1"/>
  <c r="AJ275" i="1"/>
  <c r="AH275" i="1"/>
  <c r="AG275" i="1"/>
  <c r="AF275" i="1"/>
  <c r="AE275" i="1"/>
  <c r="AD275" i="1"/>
  <c r="Z275" i="1"/>
  <c r="J275" i="1"/>
  <c r="AL275" i="1" s="1"/>
  <c r="BJ274" i="1"/>
  <c r="BF274" i="1"/>
  <c r="BD274" i="1"/>
  <c r="AP274" i="1"/>
  <c r="AX274" i="1" s="1"/>
  <c r="AO274" i="1"/>
  <c r="AK274" i="1"/>
  <c r="AJ274" i="1"/>
  <c r="AH274" i="1"/>
  <c r="AG274" i="1"/>
  <c r="AF274" i="1"/>
  <c r="AE274" i="1"/>
  <c r="AD274" i="1"/>
  <c r="Z274" i="1"/>
  <c r="J274" i="1"/>
  <c r="BJ272" i="1"/>
  <c r="BF272" i="1"/>
  <c r="BD272" i="1"/>
  <c r="AP272" i="1"/>
  <c r="AO272" i="1"/>
  <c r="AK272" i="1"/>
  <c r="AJ272" i="1"/>
  <c r="AH272" i="1"/>
  <c r="AG272" i="1"/>
  <c r="AF272" i="1"/>
  <c r="AE272" i="1"/>
  <c r="AD272" i="1"/>
  <c r="Z272" i="1"/>
  <c r="J272" i="1"/>
  <c r="AL272" i="1" s="1"/>
  <c r="BJ271" i="1"/>
  <c r="BF271" i="1"/>
  <c r="BD271" i="1"/>
  <c r="AP271" i="1"/>
  <c r="AO271" i="1"/>
  <c r="AK271" i="1"/>
  <c r="AJ271" i="1"/>
  <c r="AH271" i="1"/>
  <c r="AG271" i="1"/>
  <c r="AF271" i="1"/>
  <c r="AE271" i="1"/>
  <c r="AD271" i="1"/>
  <c r="Z271" i="1"/>
  <c r="J271" i="1"/>
  <c r="AL271" i="1" s="1"/>
  <c r="BJ270" i="1"/>
  <c r="BF270" i="1"/>
  <c r="BD270" i="1"/>
  <c r="AP270" i="1"/>
  <c r="AO270" i="1"/>
  <c r="AL270" i="1"/>
  <c r="AK270" i="1"/>
  <c r="AJ270" i="1"/>
  <c r="AH270" i="1"/>
  <c r="AG270" i="1"/>
  <c r="AF270" i="1"/>
  <c r="AE270" i="1"/>
  <c r="AD270" i="1"/>
  <c r="Z270" i="1"/>
  <c r="J270" i="1"/>
  <c r="BJ269" i="1"/>
  <c r="BF269" i="1"/>
  <c r="BD269" i="1"/>
  <c r="AP269" i="1"/>
  <c r="AO269" i="1"/>
  <c r="BH269" i="1" s="1"/>
  <c r="AB269" i="1" s="1"/>
  <c r="AK269" i="1"/>
  <c r="AJ269" i="1"/>
  <c r="AH269" i="1"/>
  <c r="AG269" i="1"/>
  <c r="AF269" i="1"/>
  <c r="AE269" i="1"/>
  <c r="AD269" i="1"/>
  <c r="Z269" i="1"/>
  <c r="J269" i="1"/>
  <c r="AL269" i="1" s="1"/>
  <c r="BJ268" i="1"/>
  <c r="Z268" i="1" s="1"/>
  <c r="BF268" i="1"/>
  <c r="BD268" i="1"/>
  <c r="AP268" i="1"/>
  <c r="AO268" i="1"/>
  <c r="H268" i="1" s="1"/>
  <c r="AK268" i="1"/>
  <c r="AJ268" i="1"/>
  <c r="AH268" i="1"/>
  <c r="AG268" i="1"/>
  <c r="AF268" i="1"/>
  <c r="AE268" i="1"/>
  <c r="AD268" i="1"/>
  <c r="AC268" i="1"/>
  <c r="AB268" i="1"/>
  <c r="J268" i="1"/>
  <c r="AL268" i="1" s="1"/>
  <c r="I268" i="1"/>
  <c r="BJ267" i="1"/>
  <c r="BF267" i="1"/>
  <c r="BD267" i="1"/>
  <c r="AP267" i="1"/>
  <c r="AO267" i="1"/>
  <c r="BH267" i="1" s="1"/>
  <c r="AB267" i="1" s="1"/>
  <c r="AK267" i="1"/>
  <c r="AJ267" i="1"/>
  <c r="AH267" i="1"/>
  <c r="AG267" i="1"/>
  <c r="AF267" i="1"/>
  <c r="AE267" i="1"/>
  <c r="AD267" i="1"/>
  <c r="Z267" i="1"/>
  <c r="J267" i="1"/>
  <c r="AL267" i="1" s="1"/>
  <c r="BJ266" i="1"/>
  <c r="BF266" i="1"/>
  <c r="BD266" i="1"/>
  <c r="AW266" i="1"/>
  <c r="AP266" i="1"/>
  <c r="BI266" i="1" s="1"/>
  <c r="AC266" i="1" s="1"/>
  <c r="AO266" i="1"/>
  <c r="BH266" i="1" s="1"/>
  <c r="AK266" i="1"/>
  <c r="AJ266" i="1"/>
  <c r="AH266" i="1"/>
  <c r="AG266" i="1"/>
  <c r="AF266" i="1"/>
  <c r="AE266" i="1"/>
  <c r="AD266" i="1"/>
  <c r="AB266" i="1"/>
  <c r="Z266" i="1"/>
  <c r="J266" i="1"/>
  <c r="AL266" i="1" s="1"/>
  <c r="BJ265" i="1"/>
  <c r="BF265" i="1"/>
  <c r="BD265" i="1"/>
  <c r="AP265" i="1"/>
  <c r="AO265" i="1"/>
  <c r="H265" i="1" s="1"/>
  <c r="AK265" i="1"/>
  <c r="AJ265" i="1"/>
  <c r="AH265" i="1"/>
  <c r="AG265" i="1"/>
  <c r="AF265" i="1"/>
  <c r="AE265" i="1"/>
  <c r="AD265" i="1"/>
  <c r="Z265" i="1"/>
  <c r="J265" i="1"/>
  <c r="AL265" i="1" s="1"/>
  <c r="BJ264" i="1"/>
  <c r="BI264" i="1"/>
  <c r="AC264" i="1" s="1"/>
  <c r="BF264" i="1"/>
  <c r="BD264" i="1"/>
  <c r="AP264" i="1"/>
  <c r="AX264" i="1" s="1"/>
  <c r="AO264" i="1"/>
  <c r="AL264" i="1"/>
  <c r="AK264" i="1"/>
  <c r="AJ264" i="1"/>
  <c r="AH264" i="1"/>
  <c r="AG264" i="1"/>
  <c r="AF264" i="1"/>
  <c r="AE264" i="1"/>
  <c r="AD264" i="1"/>
  <c r="Z264" i="1"/>
  <c r="J264" i="1"/>
  <c r="I264" i="1"/>
  <c r="BJ263" i="1"/>
  <c r="BF263" i="1"/>
  <c r="BD263" i="1"/>
  <c r="AP263" i="1"/>
  <c r="AX263" i="1" s="1"/>
  <c r="AO263" i="1"/>
  <c r="AK263" i="1"/>
  <c r="AJ263" i="1"/>
  <c r="AH263" i="1"/>
  <c r="AG263" i="1"/>
  <c r="AF263" i="1"/>
  <c r="AE263" i="1"/>
  <c r="AD263" i="1"/>
  <c r="Z263" i="1"/>
  <c r="J263" i="1"/>
  <c r="BJ261" i="1"/>
  <c r="BF261" i="1"/>
  <c r="BD261" i="1"/>
  <c r="AX261" i="1"/>
  <c r="AP261" i="1"/>
  <c r="BI261" i="1" s="1"/>
  <c r="AO261" i="1"/>
  <c r="BH261" i="1" s="1"/>
  <c r="AK261" i="1"/>
  <c r="AJ261" i="1"/>
  <c r="AH261" i="1"/>
  <c r="AG261" i="1"/>
  <c r="AF261" i="1"/>
  <c r="AE261" i="1"/>
  <c r="AD261" i="1"/>
  <c r="AC261" i="1"/>
  <c r="AB261" i="1"/>
  <c r="Z261" i="1"/>
  <c r="J261" i="1"/>
  <c r="AL261" i="1" s="1"/>
  <c r="BJ260" i="1"/>
  <c r="BF260" i="1"/>
  <c r="BD260" i="1"/>
  <c r="AP260" i="1"/>
  <c r="BI260" i="1" s="1"/>
  <c r="AC260" i="1" s="1"/>
  <c r="AO260" i="1"/>
  <c r="BH260" i="1" s="1"/>
  <c r="AB260" i="1" s="1"/>
  <c r="AK260" i="1"/>
  <c r="AJ260" i="1"/>
  <c r="AH260" i="1"/>
  <c r="AG260" i="1"/>
  <c r="AF260" i="1"/>
  <c r="AE260" i="1"/>
  <c r="AD260" i="1"/>
  <c r="Z260" i="1"/>
  <c r="J260" i="1"/>
  <c r="AL260" i="1" s="1"/>
  <c r="BJ259" i="1"/>
  <c r="BF259" i="1"/>
  <c r="BD259" i="1"/>
  <c r="AP259" i="1"/>
  <c r="AX259" i="1" s="1"/>
  <c r="AO259" i="1"/>
  <c r="AW259" i="1" s="1"/>
  <c r="AK259" i="1"/>
  <c r="AJ259" i="1"/>
  <c r="AH259" i="1"/>
  <c r="AG259" i="1"/>
  <c r="AF259" i="1"/>
  <c r="AE259" i="1"/>
  <c r="AD259" i="1"/>
  <c r="Z259" i="1"/>
  <c r="J259" i="1"/>
  <c r="AL259" i="1" s="1"/>
  <c r="BJ258" i="1"/>
  <c r="BH258" i="1"/>
  <c r="AB258" i="1" s="1"/>
  <c r="BF258" i="1"/>
  <c r="BD258" i="1"/>
  <c r="AW258" i="1"/>
  <c r="AP258" i="1"/>
  <c r="AO258" i="1"/>
  <c r="AK258" i="1"/>
  <c r="AJ258" i="1"/>
  <c r="AH258" i="1"/>
  <c r="AG258" i="1"/>
  <c r="AF258" i="1"/>
  <c r="AE258" i="1"/>
  <c r="AD258" i="1"/>
  <c r="Z258" i="1"/>
  <c r="J258" i="1"/>
  <c r="H258" i="1"/>
  <c r="BJ256" i="1"/>
  <c r="BF256" i="1"/>
  <c r="BD256" i="1"/>
  <c r="AW256" i="1"/>
  <c r="AP256" i="1"/>
  <c r="AO256" i="1"/>
  <c r="BH256" i="1" s="1"/>
  <c r="AB256" i="1" s="1"/>
  <c r="AK256" i="1"/>
  <c r="AJ256" i="1"/>
  <c r="AH256" i="1"/>
  <c r="AG256" i="1"/>
  <c r="AF256" i="1"/>
  <c r="AE256" i="1"/>
  <c r="AD256" i="1"/>
  <c r="Z256" i="1"/>
  <c r="J256" i="1"/>
  <c r="AL256" i="1" s="1"/>
  <c r="H256" i="1"/>
  <c r="BJ255" i="1"/>
  <c r="Z255" i="1" s="1"/>
  <c r="BF255" i="1"/>
  <c r="BD255" i="1"/>
  <c r="AX255" i="1"/>
  <c r="AP255" i="1"/>
  <c r="BI255" i="1" s="1"/>
  <c r="AO255" i="1"/>
  <c r="AK255" i="1"/>
  <c r="AJ255" i="1"/>
  <c r="AH255" i="1"/>
  <c r="AG255" i="1"/>
  <c r="AF255" i="1"/>
  <c r="AE255" i="1"/>
  <c r="AD255" i="1"/>
  <c r="AC255" i="1"/>
  <c r="AB255" i="1"/>
  <c r="J255" i="1"/>
  <c r="AL255" i="1" s="1"/>
  <c r="BJ254" i="1"/>
  <c r="BF254" i="1"/>
  <c r="BD254" i="1"/>
  <c r="AP254" i="1"/>
  <c r="AX254" i="1" s="1"/>
  <c r="AO254" i="1"/>
  <c r="AL254" i="1"/>
  <c r="AK254" i="1"/>
  <c r="AJ254" i="1"/>
  <c r="AH254" i="1"/>
  <c r="AG254" i="1"/>
  <c r="AF254" i="1"/>
  <c r="AE254" i="1"/>
  <c r="AD254" i="1"/>
  <c r="Z254" i="1"/>
  <c r="J254" i="1"/>
  <c r="I254" i="1"/>
  <c r="BJ253" i="1"/>
  <c r="BF253" i="1"/>
  <c r="BD253" i="1"/>
  <c r="AP253" i="1"/>
  <c r="BI253" i="1" s="1"/>
  <c r="AC253" i="1" s="1"/>
  <c r="AO253" i="1"/>
  <c r="AK253" i="1"/>
  <c r="AJ253" i="1"/>
  <c r="AH253" i="1"/>
  <c r="AG253" i="1"/>
  <c r="AF253" i="1"/>
  <c r="AE253" i="1"/>
  <c r="AD253" i="1"/>
  <c r="Z253" i="1"/>
  <c r="J253" i="1"/>
  <c r="AL253" i="1" s="1"/>
  <c r="BJ252" i="1"/>
  <c r="BF252" i="1"/>
  <c r="BD252" i="1"/>
  <c r="AP252" i="1"/>
  <c r="AO252" i="1"/>
  <c r="AK252" i="1"/>
  <c r="AJ252" i="1"/>
  <c r="AH252" i="1"/>
  <c r="AG252" i="1"/>
  <c r="AF252" i="1"/>
  <c r="AE252" i="1"/>
  <c r="AD252" i="1"/>
  <c r="Z252" i="1"/>
  <c r="J252" i="1"/>
  <c r="AL252" i="1" s="1"/>
  <c r="BJ251" i="1"/>
  <c r="BF251" i="1"/>
  <c r="BD251" i="1"/>
  <c r="AP251" i="1"/>
  <c r="AO251" i="1"/>
  <c r="AK251" i="1"/>
  <c r="AJ251" i="1"/>
  <c r="AH251" i="1"/>
  <c r="AG251" i="1"/>
  <c r="AF251" i="1"/>
  <c r="AE251" i="1"/>
  <c r="AD251" i="1"/>
  <c r="Z251" i="1"/>
  <c r="J251" i="1"/>
  <c r="AL251" i="1" s="1"/>
  <c r="BJ250" i="1"/>
  <c r="BF250" i="1"/>
  <c r="BD250" i="1"/>
  <c r="AP250" i="1"/>
  <c r="AX250" i="1" s="1"/>
  <c r="AO250" i="1"/>
  <c r="BH250" i="1" s="1"/>
  <c r="AB250" i="1" s="1"/>
  <c r="AK250" i="1"/>
  <c r="AJ250" i="1"/>
  <c r="AH250" i="1"/>
  <c r="AG250" i="1"/>
  <c r="AF250" i="1"/>
  <c r="AE250" i="1"/>
  <c r="AD250" i="1"/>
  <c r="Z250" i="1"/>
  <c r="J250" i="1"/>
  <c r="AL250" i="1" s="1"/>
  <c r="I250" i="1"/>
  <c r="BJ248" i="1"/>
  <c r="Z248" i="1" s="1"/>
  <c r="BF248" i="1"/>
  <c r="BD248" i="1"/>
  <c r="AP248" i="1"/>
  <c r="AO248" i="1"/>
  <c r="AK248" i="1"/>
  <c r="AJ248" i="1"/>
  <c r="AH248" i="1"/>
  <c r="AG248" i="1"/>
  <c r="AF248" i="1"/>
  <c r="AE248" i="1"/>
  <c r="AD248" i="1"/>
  <c r="AC248" i="1"/>
  <c r="AB248" i="1"/>
  <c r="J248" i="1"/>
  <c r="AL248" i="1" s="1"/>
  <c r="I248" i="1"/>
  <c r="BJ247" i="1"/>
  <c r="BF247" i="1"/>
  <c r="BD247" i="1"/>
  <c r="AP247" i="1"/>
  <c r="AO247" i="1"/>
  <c r="AW247" i="1" s="1"/>
  <c r="AK247" i="1"/>
  <c r="AJ247" i="1"/>
  <c r="AH247" i="1"/>
  <c r="AG247" i="1"/>
  <c r="AF247" i="1"/>
  <c r="AE247" i="1"/>
  <c r="AD247" i="1"/>
  <c r="Z247" i="1"/>
  <c r="J247" i="1"/>
  <c r="AL247" i="1" s="1"/>
  <c r="BJ246" i="1"/>
  <c r="BF246" i="1"/>
  <c r="BD246" i="1"/>
  <c r="AP246" i="1"/>
  <c r="I246" i="1" s="1"/>
  <c r="AO246" i="1"/>
  <c r="BH246" i="1" s="1"/>
  <c r="AB246" i="1" s="1"/>
  <c r="AK246" i="1"/>
  <c r="AT245" i="1" s="1"/>
  <c r="AJ246" i="1"/>
  <c r="AH246" i="1"/>
  <c r="AG246" i="1"/>
  <c r="AF246" i="1"/>
  <c r="AE246" i="1"/>
  <c r="AD246" i="1"/>
  <c r="Z246" i="1"/>
  <c r="J246" i="1"/>
  <c r="AL246" i="1" s="1"/>
  <c r="AU245" i="1" s="1"/>
  <c r="BJ244" i="1"/>
  <c r="BF244" i="1"/>
  <c r="BD244" i="1"/>
  <c r="AP244" i="1"/>
  <c r="BI244" i="1" s="1"/>
  <c r="AO244" i="1"/>
  <c r="AW244" i="1" s="1"/>
  <c r="AK244" i="1"/>
  <c r="AJ244" i="1"/>
  <c r="AH244" i="1"/>
  <c r="AG244" i="1"/>
  <c r="AF244" i="1"/>
  <c r="AE244" i="1"/>
  <c r="AD244" i="1"/>
  <c r="AC244" i="1"/>
  <c r="AB244" i="1"/>
  <c r="Z244" i="1"/>
  <c r="J244" i="1"/>
  <c r="AL244" i="1" s="1"/>
  <c r="BJ243" i="1"/>
  <c r="BF243" i="1"/>
  <c r="BD243" i="1"/>
  <c r="AP243" i="1"/>
  <c r="AO243" i="1"/>
  <c r="AK243" i="1"/>
  <c r="AJ243" i="1"/>
  <c r="AH243" i="1"/>
  <c r="AG243" i="1"/>
  <c r="AF243" i="1"/>
  <c r="AE243" i="1"/>
  <c r="AD243" i="1"/>
  <c r="Z243" i="1"/>
  <c r="J243" i="1"/>
  <c r="AL243" i="1" s="1"/>
  <c r="BJ242" i="1"/>
  <c r="BF242" i="1"/>
  <c r="BD242" i="1"/>
  <c r="AP242" i="1"/>
  <c r="AO242" i="1"/>
  <c r="AK242" i="1"/>
  <c r="AJ242" i="1"/>
  <c r="AH242" i="1"/>
  <c r="AG242" i="1"/>
  <c r="AF242" i="1"/>
  <c r="AE242" i="1"/>
  <c r="AD242" i="1"/>
  <c r="Z242" i="1"/>
  <c r="J242" i="1"/>
  <c r="AL242" i="1" s="1"/>
  <c r="BJ241" i="1"/>
  <c r="BF241" i="1"/>
  <c r="BD241" i="1"/>
  <c r="AP241" i="1"/>
  <c r="BI241" i="1" s="1"/>
  <c r="AC241" i="1" s="1"/>
  <c r="AO241" i="1"/>
  <c r="AK241" i="1"/>
  <c r="AJ241" i="1"/>
  <c r="AH241" i="1"/>
  <c r="AG241" i="1"/>
  <c r="AF241" i="1"/>
  <c r="AE241" i="1"/>
  <c r="AD241" i="1"/>
  <c r="Z241" i="1"/>
  <c r="J241" i="1"/>
  <c r="AL241" i="1" s="1"/>
  <c r="BJ240" i="1"/>
  <c r="BF240" i="1"/>
  <c r="BD240" i="1"/>
  <c r="AP240" i="1"/>
  <c r="BI240" i="1" s="1"/>
  <c r="AC240" i="1" s="1"/>
  <c r="AO240" i="1"/>
  <c r="AL240" i="1"/>
  <c r="AK240" i="1"/>
  <c r="AJ240" i="1"/>
  <c r="AH240" i="1"/>
  <c r="AG240" i="1"/>
  <c r="AF240" i="1"/>
  <c r="AE240" i="1"/>
  <c r="AD240" i="1"/>
  <c r="Z240" i="1"/>
  <c r="J240" i="1"/>
  <c r="I240" i="1"/>
  <c r="BJ239" i="1"/>
  <c r="BF239" i="1"/>
  <c r="BD239" i="1"/>
  <c r="AP239" i="1"/>
  <c r="AO239" i="1"/>
  <c r="AK239" i="1"/>
  <c r="AJ239" i="1"/>
  <c r="AH239" i="1"/>
  <c r="AG239" i="1"/>
  <c r="AF239" i="1"/>
  <c r="AE239" i="1"/>
  <c r="AD239" i="1"/>
  <c r="Z239" i="1"/>
  <c r="J239" i="1"/>
  <c r="AL239" i="1" s="1"/>
  <c r="BJ238" i="1"/>
  <c r="BF238" i="1"/>
  <c r="BD238" i="1"/>
  <c r="AW238" i="1"/>
  <c r="AP238" i="1"/>
  <c r="AO238" i="1"/>
  <c r="BH238" i="1" s="1"/>
  <c r="AL238" i="1"/>
  <c r="AK238" i="1"/>
  <c r="AJ238" i="1"/>
  <c r="AH238" i="1"/>
  <c r="AG238" i="1"/>
  <c r="AF238" i="1"/>
  <c r="AE238" i="1"/>
  <c r="AD238" i="1"/>
  <c r="AB238" i="1"/>
  <c r="Z238" i="1"/>
  <c r="J238" i="1"/>
  <c r="H238" i="1"/>
  <c r="BJ237" i="1"/>
  <c r="BH237" i="1"/>
  <c r="AB237" i="1" s="1"/>
  <c r="BF237" i="1"/>
  <c r="BD237" i="1"/>
  <c r="AX237" i="1"/>
  <c r="AW237" i="1"/>
  <c r="AP237" i="1"/>
  <c r="BI237" i="1" s="1"/>
  <c r="AO237" i="1"/>
  <c r="H237" i="1" s="1"/>
  <c r="AL237" i="1"/>
  <c r="AK237" i="1"/>
  <c r="AJ237" i="1"/>
  <c r="AH237" i="1"/>
  <c r="AG237" i="1"/>
  <c r="AF237" i="1"/>
  <c r="AE237" i="1"/>
  <c r="AD237" i="1"/>
  <c r="AC237" i="1"/>
  <c r="Z237" i="1"/>
  <c r="J237" i="1"/>
  <c r="BJ236" i="1"/>
  <c r="BF236" i="1"/>
  <c r="BD236" i="1"/>
  <c r="AP236" i="1"/>
  <c r="AO236" i="1"/>
  <c r="AK236" i="1"/>
  <c r="AJ236" i="1"/>
  <c r="AH236" i="1"/>
  <c r="AG236" i="1"/>
  <c r="AF236" i="1"/>
  <c r="AE236" i="1"/>
  <c r="AD236" i="1"/>
  <c r="Z236" i="1"/>
  <c r="J236" i="1"/>
  <c r="AL236" i="1" s="1"/>
  <c r="BJ235" i="1"/>
  <c r="BF235" i="1"/>
  <c r="BD235" i="1"/>
  <c r="AP235" i="1"/>
  <c r="AO235" i="1"/>
  <c r="AK235" i="1"/>
  <c r="AJ235" i="1"/>
  <c r="AH235" i="1"/>
  <c r="AG235" i="1"/>
  <c r="AF235" i="1"/>
  <c r="AE235" i="1"/>
  <c r="AD235" i="1"/>
  <c r="Z235" i="1"/>
  <c r="J235" i="1"/>
  <c r="AL235" i="1" s="1"/>
  <c r="BJ234" i="1"/>
  <c r="BF234" i="1"/>
  <c r="BD234" i="1"/>
  <c r="AP234" i="1"/>
  <c r="I234" i="1" s="1"/>
  <c r="AO234" i="1"/>
  <c r="AK234" i="1"/>
  <c r="AJ234" i="1"/>
  <c r="AH234" i="1"/>
  <c r="AG234" i="1"/>
  <c r="AF234" i="1"/>
  <c r="AE234" i="1"/>
  <c r="AD234" i="1"/>
  <c r="Z234" i="1"/>
  <c r="J234" i="1"/>
  <c r="AL234" i="1" s="1"/>
  <c r="BJ233" i="1"/>
  <c r="BF233" i="1"/>
  <c r="BD233" i="1"/>
  <c r="AP233" i="1"/>
  <c r="BI233" i="1" s="1"/>
  <c r="AC233" i="1" s="1"/>
  <c r="AO233" i="1"/>
  <c r="AK233" i="1"/>
  <c r="AJ233" i="1"/>
  <c r="AH233" i="1"/>
  <c r="AG233" i="1"/>
  <c r="AF233" i="1"/>
  <c r="AE233" i="1"/>
  <c r="AD233" i="1"/>
  <c r="Z233" i="1"/>
  <c r="J233" i="1"/>
  <c r="AL233" i="1" s="1"/>
  <c r="BJ232" i="1"/>
  <c r="BF232" i="1"/>
  <c r="BD232" i="1"/>
  <c r="AP232" i="1"/>
  <c r="I232" i="1" s="1"/>
  <c r="AO232" i="1"/>
  <c r="AK232" i="1"/>
  <c r="AJ232" i="1"/>
  <c r="AH232" i="1"/>
  <c r="AG232" i="1"/>
  <c r="AF232" i="1"/>
  <c r="AE232" i="1"/>
  <c r="AD232" i="1"/>
  <c r="Z232" i="1"/>
  <c r="J232" i="1"/>
  <c r="AL232" i="1" s="1"/>
  <c r="BJ230" i="1"/>
  <c r="Z230" i="1" s="1"/>
  <c r="BF230" i="1"/>
  <c r="BD230" i="1"/>
  <c r="AP230" i="1"/>
  <c r="AO230" i="1"/>
  <c r="AK230" i="1"/>
  <c r="AJ230" i="1"/>
  <c r="AH230" i="1"/>
  <c r="AG230" i="1"/>
  <c r="AF230" i="1"/>
  <c r="AE230" i="1"/>
  <c r="AD230" i="1"/>
  <c r="AC230" i="1"/>
  <c r="AB230" i="1"/>
  <c r="J230" i="1"/>
  <c r="AL230" i="1" s="1"/>
  <c r="BJ229" i="1"/>
  <c r="BF229" i="1"/>
  <c r="BD229" i="1"/>
  <c r="AP229" i="1"/>
  <c r="AO229" i="1"/>
  <c r="AW229" i="1" s="1"/>
  <c r="AK229" i="1"/>
  <c r="AJ229" i="1"/>
  <c r="AH229" i="1"/>
  <c r="AG229" i="1"/>
  <c r="AF229" i="1"/>
  <c r="AE229" i="1"/>
  <c r="AD229" i="1"/>
  <c r="Z229" i="1"/>
  <c r="J229" i="1"/>
  <c r="AL229" i="1" s="1"/>
  <c r="BJ228" i="1"/>
  <c r="BF228" i="1"/>
  <c r="BD228" i="1"/>
  <c r="AP228" i="1"/>
  <c r="AX228" i="1" s="1"/>
  <c r="AO228" i="1"/>
  <c r="AK228" i="1"/>
  <c r="AJ228" i="1"/>
  <c r="AH228" i="1"/>
  <c r="AG228" i="1"/>
  <c r="AF228" i="1"/>
  <c r="AE228" i="1"/>
  <c r="AD228" i="1"/>
  <c r="Z228" i="1"/>
  <c r="J228" i="1"/>
  <c r="AL228" i="1" s="1"/>
  <c r="BJ227" i="1"/>
  <c r="BH227" i="1"/>
  <c r="AB227" i="1" s="1"/>
  <c r="BF227" i="1"/>
  <c r="BD227" i="1"/>
  <c r="AW227" i="1"/>
  <c r="AP227" i="1"/>
  <c r="BI227" i="1" s="1"/>
  <c r="AC227" i="1" s="1"/>
  <c r="AO227" i="1"/>
  <c r="AK227" i="1"/>
  <c r="AJ227" i="1"/>
  <c r="AH227" i="1"/>
  <c r="AG227" i="1"/>
  <c r="AF227" i="1"/>
  <c r="AE227" i="1"/>
  <c r="AD227" i="1"/>
  <c r="Z227" i="1"/>
  <c r="J227" i="1"/>
  <c r="AL227" i="1" s="1"/>
  <c r="H227" i="1"/>
  <c r="BJ226" i="1"/>
  <c r="BF226" i="1"/>
  <c r="BD226" i="1"/>
  <c r="AP226" i="1"/>
  <c r="BI226" i="1" s="1"/>
  <c r="AC226" i="1" s="1"/>
  <c r="AO226" i="1"/>
  <c r="AK226" i="1"/>
  <c r="AJ226" i="1"/>
  <c r="AH226" i="1"/>
  <c r="AG226" i="1"/>
  <c r="AF226" i="1"/>
  <c r="AE226" i="1"/>
  <c r="AD226" i="1"/>
  <c r="Z226" i="1"/>
  <c r="J226" i="1"/>
  <c r="AL226" i="1" s="1"/>
  <c r="BJ225" i="1"/>
  <c r="BF225" i="1"/>
  <c r="BD225" i="1"/>
  <c r="AP225" i="1"/>
  <c r="I225" i="1" s="1"/>
  <c r="AO225" i="1"/>
  <c r="AK225" i="1"/>
  <c r="AJ225" i="1"/>
  <c r="AH225" i="1"/>
  <c r="AG225" i="1"/>
  <c r="AF225" i="1"/>
  <c r="AE225" i="1"/>
  <c r="AD225" i="1"/>
  <c r="Z225" i="1"/>
  <c r="J225" i="1"/>
  <c r="AL225" i="1" s="1"/>
  <c r="BJ224" i="1"/>
  <c r="BF224" i="1"/>
  <c r="BD224" i="1"/>
  <c r="AP224" i="1"/>
  <c r="AO224" i="1"/>
  <c r="AK224" i="1"/>
  <c r="AJ224" i="1"/>
  <c r="AH224" i="1"/>
  <c r="AG224" i="1"/>
  <c r="AF224" i="1"/>
  <c r="AE224" i="1"/>
  <c r="AD224" i="1"/>
  <c r="Z224" i="1"/>
  <c r="J224" i="1"/>
  <c r="AL224" i="1" s="1"/>
  <c r="H224" i="1"/>
  <c r="BJ223" i="1"/>
  <c r="BF223" i="1"/>
  <c r="BD223" i="1"/>
  <c r="AP223" i="1"/>
  <c r="AO223" i="1"/>
  <c r="AK223" i="1"/>
  <c r="AJ223" i="1"/>
  <c r="AH223" i="1"/>
  <c r="AG223" i="1"/>
  <c r="AF223" i="1"/>
  <c r="AE223" i="1"/>
  <c r="AD223" i="1"/>
  <c r="Z223" i="1"/>
  <c r="J223" i="1"/>
  <c r="AL223" i="1" s="1"/>
  <c r="BJ222" i="1"/>
  <c r="BH222" i="1"/>
  <c r="AB222" i="1" s="1"/>
  <c r="BF222" i="1"/>
  <c r="BD222" i="1"/>
  <c r="AW222" i="1"/>
  <c r="AP222" i="1"/>
  <c r="I222" i="1" s="1"/>
  <c r="AO222" i="1"/>
  <c r="H222" i="1" s="1"/>
  <c r="AK222" i="1"/>
  <c r="AJ222" i="1"/>
  <c r="AH222" i="1"/>
  <c r="AG222" i="1"/>
  <c r="AF222" i="1"/>
  <c r="AE222" i="1"/>
  <c r="AD222" i="1"/>
  <c r="Z222" i="1"/>
  <c r="J222" i="1"/>
  <c r="AL222" i="1" s="1"/>
  <c r="BJ221" i="1"/>
  <c r="BF221" i="1"/>
  <c r="BD221" i="1"/>
  <c r="AP221" i="1"/>
  <c r="AO221" i="1"/>
  <c r="AK221" i="1"/>
  <c r="AJ221" i="1"/>
  <c r="AH221" i="1"/>
  <c r="AG221" i="1"/>
  <c r="AF221" i="1"/>
  <c r="AE221" i="1"/>
  <c r="AD221" i="1"/>
  <c r="Z221" i="1"/>
  <c r="J221" i="1"/>
  <c r="AL221" i="1" s="1"/>
  <c r="BJ220" i="1"/>
  <c r="BF220" i="1"/>
  <c r="BD220" i="1"/>
  <c r="AP220" i="1"/>
  <c r="AO220" i="1"/>
  <c r="AK220" i="1"/>
  <c r="AJ220" i="1"/>
  <c r="AH220" i="1"/>
  <c r="AG220" i="1"/>
  <c r="AF220" i="1"/>
  <c r="AE220" i="1"/>
  <c r="AD220" i="1"/>
  <c r="Z220" i="1"/>
  <c r="J220" i="1"/>
  <c r="AL220" i="1" s="1"/>
  <c r="BJ219" i="1"/>
  <c r="BF219" i="1"/>
  <c r="BD219" i="1"/>
  <c r="AP219" i="1"/>
  <c r="I219" i="1" s="1"/>
  <c r="AO219" i="1"/>
  <c r="AK219" i="1"/>
  <c r="AJ219" i="1"/>
  <c r="AH219" i="1"/>
  <c r="AG219" i="1"/>
  <c r="AF219" i="1"/>
  <c r="AE219" i="1"/>
  <c r="AD219" i="1"/>
  <c r="Z219" i="1"/>
  <c r="J219" i="1"/>
  <c r="AL219" i="1" s="1"/>
  <c r="BJ218" i="1"/>
  <c r="BF218" i="1"/>
  <c r="BD218" i="1"/>
  <c r="AP218" i="1"/>
  <c r="BI218" i="1" s="1"/>
  <c r="AC218" i="1" s="1"/>
  <c r="AO218" i="1"/>
  <c r="AK218" i="1"/>
  <c r="AJ218" i="1"/>
  <c r="AH218" i="1"/>
  <c r="AG218" i="1"/>
  <c r="AF218" i="1"/>
  <c r="AE218" i="1"/>
  <c r="AD218" i="1"/>
  <c r="Z218" i="1"/>
  <c r="J218" i="1"/>
  <c r="AL218" i="1" s="1"/>
  <c r="BJ217" i="1"/>
  <c r="BF217" i="1"/>
  <c r="BD217" i="1"/>
  <c r="AP217" i="1"/>
  <c r="I217" i="1" s="1"/>
  <c r="AO217" i="1"/>
  <c r="AK217" i="1"/>
  <c r="AJ217" i="1"/>
  <c r="AH217" i="1"/>
  <c r="AG217" i="1"/>
  <c r="AF217" i="1"/>
  <c r="AE217" i="1"/>
  <c r="AD217" i="1"/>
  <c r="Z217" i="1"/>
  <c r="J217" i="1"/>
  <c r="AL217" i="1" s="1"/>
  <c r="BJ216" i="1"/>
  <c r="BF216" i="1"/>
  <c r="BD216" i="1"/>
  <c r="AP216" i="1"/>
  <c r="AX216" i="1" s="1"/>
  <c r="AO216" i="1"/>
  <c r="AK216" i="1"/>
  <c r="AJ216" i="1"/>
  <c r="AH216" i="1"/>
  <c r="AG216" i="1"/>
  <c r="AF216" i="1"/>
  <c r="AE216" i="1"/>
  <c r="AD216" i="1"/>
  <c r="Z216" i="1"/>
  <c r="J216" i="1"/>
  <c r="AL216" i="1" s="1"/>
  <c r="BJ215" i="1"/>
  <c r="BF215" i="1"/>
  <c r="BD215" i="1"/>
  <c r="AP215" i="1"/>
  <c r="BI215" i="1" s="1"/>
  <c r="AC215" i="1" s="1"/>
  <c r="AO215" i="1"/>
  <c r="BH215" i="1" s="1"/>
  <c r="AB215" i="1" s="1"/>
  <c r="AK215" i="1"/>
  <c r="AJ215" i="1"/>
  <c r="AH215" i="1"/>
  <c r="AG215" i="1"/>
  <c r="AF215" i="1"/>
  <c r="AE215" i="1"/>
  <c r="AD215" i="1"/>
  <c r="Z215" i="1"/>
  <c r="J215" i="1"/>
  <c r="AL215" i="1" s="1"/>
  <c r="BJ214" i="1"/>
  <c r="BF214" i="1"/>
  <c r="BD214" i="1"/>
  <c r="AP214" i="1"/>
  <c r="AO214" i="1"/>
  <c r="H214" i="1" s="1"/>
  <c r="AK214" i="1"/>
  <c r="AJ214" i="1"/>
  <c r="AH214" i="1"/>
  <c r="AG214" i="1"/>
  <c r="AF214" i="1"/>
  <c r="AE214" i="1"/>
  <c r="AD214" i="1"/>
  <c r="Z214" i="1"/>
  <c r="J214" i="1"/>
  <c r="BJ213" i="1"/>
  <c r="BF213" i="1"/>
  <c r="BD213" i="1"/>
  <c r="AP213" i="1"/>
  <c r="I213" i="1" s="1"/>
  <c r="AO213" i="1"/>
  <c r="AW213" i="1" s="1"/>
  <c r="AK213" i="1"/>
  <c r="AJ213" i="1"/>
  <c r="AH213" i="1"/>
  <c r="AG213" i="1"/>
  <c r="AF213" i="1"/>
  <c r="AE213" i="1"/>
  <c r="AD213" i="1"/>
  <c r="Z213" i="1"/>
  <c r="J213" i="1"/>
  <c r="AL213" i="1" s="1"/>
  <c r="BJ211" i="1"/>
  <c r="BF211" i="1"/>
  <c r="BD211" i="1"/>
  <c r="AP211" i="1"/>
  <c r="AO211" i="1"/>
  <c r="H211" i="1" s="1"/>
  <c r="AK211" i="1"/>
  <c r="AJ211" i="1"/>
  <c r="AH211" i="1"/>
  <c r="AG211" i="1"/>
  <c r="AF211" i="1"/>
  <c r="AE211" i="1"/>
  <c r="AD211" i="1"/>
  <c r="Z211" i="1"/>
  <c r="J211" i="1"/>
  <c r="AL211" i="1" s="1"/>
  <c r="BJ210" i="1"/>
  <c r="BI210" i="1"/>
  <c r="AC210" i="1" s="1"/>
  <c r="BF210" i="1"/>
  <c r="BD210" i="1"/>
  <c r="AX210" i="1"/>
  <c r="AV210" i="1" s="1"/>
  <c r="AP210" i="1"/>
  <c r="I210" i="1" s="1"/>
  <c r="AO210" i="1"/>
  <c r="AW210" i="1" s="1"/>
  <c r="AK210" i="1"/>
  <c r="AJ210" i="1"/>
  <c r="AH210" i="1"/>
  <c r="AG210" i="1"/>
  <c r="AF210" i="1"/>
  <c r="AE210" i="1"/>
  <c r="AD210" i="1"/>
  <c r="Z210" i="1"/>
  <c r="J210" i="1"/>
  <c r="AL210" i="1" s="1"/>
  <c r="BJ209" i="1"/>
  <c r="BF209" i="1"/>
  <c r="BD209" i="1"/>
  <c r="AP209" i="1"/>
  <c r="AO209" i="1"/>
  <c r="BH209" i="1" s="1"/>
  <c r="AB209" i="1" s="1"/>
  <c r="AK209" i="1"/>
  <c r="AJ209" i="1"/>
  <c r="AH209" i="1"/>
  <c r="AG209" i="1"/>
  <c r="AF209" i="1"/>
  <c r="AE209" i="1"/>
  <c r="AD209" i="1"/>
  <c r="Z209" i="1"/>
  <c r="J209" i="1"/>
  <c r="AL209" i="1" s="1"/>
  <c r="BJ208" i="1"/>
  <c r="BF208" i="1"/>
  <c r="BD208" i="1"/>
  <c r="AP208" i="1"/>
  <c r="BI208" i="1" s="1"/>
  <c r="AC208" i="1" s="1"/>
  <c r="AO208" i="1"/>
  <c r="BH208" i="1" s="1"/>
  <c r="AB208" i="1" s="1"/>
  <c r="AL208" i="1"/>
  <c r="AK208" i="1"/>
  <c r="AJ208" i="1"/>
  <c r="AH208" i="1"/>
  <c r="AG208" i="1"/>
  <c r="AF208" i="1"/>
  <c r="AE208" i="1"/>
  <c r="AD208" i="1"/>
  <c r="Z208" i="1"/>
  <c r="J208" i="1"/>
  <c r="I208" i="1"/>
  <c r="H208" i="1"/>
  <c r="BJ207" i="1"/>
  <c r="BF207" i="1"/>
  <c r="BD207" i="1"/>
  <c r="AP207" i="1"/>
  <c r="AO207" i="1"/>
  <c r="AK207" i="1"/>
  <c r="AJ207" i="1"/>
  <c r="AH207" i="1"/>
  <c r="AG207" i="1"/>
  <c r="AF207" i="1"/>
  <c r="AE207" i="1"/>
  <c r="AD207" i="1"/>
  <c r="Z207" i="1"/>
  <c r="J207" i="1"/>
  <c r="AL207" i="1" s="1"/>
  <c r="BJ206" i="1"/>
  <c r="BF206" i="1"/>
  <c r="BD206" i="1"/>
  <c r="AP206" i="1"/>
  <c r="AO206" i="1"/>
  <c r="AK206" i="1"/>
  <c r="AJ206" i="1"/>
  <c r="AH206" i="1"/>
  <c r="AG206" i="1"/>
  <c r="AF206" i="1"/>
  <c r="AE206" i="1"/>
  <c r="AD206" i="1"/>
  <c r="Z206" i="1"/>
  <c r="J206" i="1"/>
  <c r="AL206" i="1" s="1"/>
  <c r="BJ205" i="1"/>
  <c r="BF205" i="1"/>
  <c r="BD205" i="1"/>
  <c r="AP205" i="1"/>
  <c r="AO205" i="1"/>
  <c r="BH205" i="1" s="1"/>
  <c r="AB205" i="1" s="1"/>
  <c r="AK205" i="1"/>
  <c r="AJ205" i="1"/>
  <c r="AH205" i="1"/>
  <c r="AG205" i="1"/>
  <c r="AF205" i="1"/>
  <c r="AE205" i="1"/>
  <c r="AD205" i="1"/>
  <c r="Z205" i="1"/>
  <c r="J205" i="1"/>
  <c r="AL205" i="1" s="1"/>
  <c r="BJ204" i="1"/>
  <c r="BF204" i="1"/>
  <c r="BD204" i="1"/>
  <c r="AP204" i="1"/>
  <c r="BI204" i="1" s="1"/>
  <c r="AO204" i="1"/>
  <c r="H204" i="1" s="1"/>
  <c r="AL204" i="1"/>
  <c r="AK204" i="1"/>
  <c r="AJ204" i="1"/>
  <c r="AH204" i="1"/>
  <c r="AG204" i="1"/>
  <c r="AF204" i="1"/>
  <c r="AE204" i="1"/>
  <c r="AD204" i="1"/>
  <c r="AC204" i="1"/>
  <c r="Z204" i="1"/>
  <c r="J204" i="1"/>
  <c r="I204" i="1"/>
  <c r="BJ203" i="1"/>
  <c r="BF203" i="1"/>
  <c r="BD203" i="1"/>
  <c r="AX203" i="1"/>
  <c r="AP203" i="1"/>
  <c r="BI203" i="1" s="1"/>
  <c r="AC203" i="1" s="1"/>
  <c r="AO203" i="1"/>
  <c r="AK203" i="1"/>
  <c r="AJ203" i="1"/>
  <c r="AH203" i="1"/>
  <c r="AG203" i="1"/>
  <c r="AF203" i="1"/>
  <c r="AE203" i="1"/>
  <c r="AD203" i="1"/>
  <c r="Z203" i="1"/>
  <c r="J203" i="1"/>
  <c r="AL203" i="1" s="1"/>
  <c r="BJ201" i="1"/>
  <c r="BF201" i="1"/>
  <c r="BD201" i="1"/>
  <c r="AP201" i="1"/>
  <c r="AO201" i="1"/>
  <c r="BH201" i="1" s="1"/>
  <c r="AK201" i="1"/>
  <c r="AJ201" i="1"/>
  <c r="AH201" i="1"/>
  <c r="AF201" i="1"/>
  <c r="AE201" i="1"/>
  <c r="AD201" i="1"/>
  <c r="AC201" i="1"/>
  <c r="AB201" i="1"/>
  <c r="Z201" i="1"/>
  <c r="J201" i="1"/>
  <c r="AL201" i="1" s="1"/>
  <c r="I201" i="1"/>
  <c r="H201" i="1"/>
  <c r="BJ200" i="1"/>
  <c r="BF200" i="1"/>
  <c r="BD200" i="1"/>
  <c r="AP200" i="1"/>
  <c r="AX200" i="1" s="1"/>
  <c r="AO200" i="1"/>
  <c r="AW200" i="1" s="1"/>
  <c r="AK200" i="1"/>
  <c r="AJ200" i="1"/>
  <c r="AH200" i="1"/>
  <c r="AE200" i="1"/>
  <c r="AD200" i="1"/>
  <c r="AC200" i="1"/>
  <c r="AB200" i="1"/>
  <c r="Z200" i="1"/>
  <c r="J200" i="1"/>
  <c r="AL200" i="1" s="1"/>
  <c r="BJ199" i="1"/>
  <c r="BF199" i="1"/>
  <c r="BD199" i="1"/>
  <c r="AP199" i="1"/>
  <c r="I199" i="1" s="1"/>
  <c r="AO199" i="1"/>
  <c r="BH199" i="1" s="1"/>
  <c r="AF199" i="1" s="1"/>
  <c r="AK199" i="1"/>
  <c r="AJ199" i="1"/>
  <c r="AH199" i="1"/>
  <c r="AE199" i="1"/>
  <c r="AD199" i="1"/>
  <c r="AC199" i="1"/>
  <c r="AB199" i="1"/>
  <c r="Z199" i="1"/>
  <c r="J199" i="1"/>
  <c r="AL199" i="1" s="1"/>
  <c r="BJ198" i="1"/>
  <c r="BF198" i="1"/>
  <c r="BD198" i="1"/>
  <c r="AP198" i="1"/>
  <c r="AX198" i="1" s="1"/>
  <c r="AO198" i="1"/>
  <c r="BH198" i="1" s="1"/>
  <c r="AF198" i="1" s="1"/>
  <c r="AK198" i="1"/>
  <c r="AJ198" i="1"/>
  <c r="AH198" i="1"/>
  <c r="AE198" i="1"/>
  <c r="AD198" i="1"/>
  <c r="AC198" i="1"/>
  <c r="AB198" i="1"/>
  <c r="Z198" i="1"/>
  <c r="J198" i="1"/>
  <c r="AL198" i="1" s="1"/>
  <c r="I198" i="1"/>
  <c r="BJ197" i="1"/>
  <c r="BF197" i="1"/>
  <c r="BD197" i="1"/>
  <c r="AP197" i="1"/>
  <c r="AO197" i="1"/>
  <c r="BH197" i="1" s="1"/>
  <c r="AF197" i="1" s="1"/>
  <c r="AK197" i="1"/>
  <c r="AJ197" i="1"/>
  <c r="AH197" i="1"/>
  <c r="AE197" i="1"/>
  <c r="AD197" i="1"/>
  <c r="AC197" i="1"/>
  <c r="AB197" i="1"/>
  <c r="Z197" i="1"/>
  <c r="J197" i="1"/>
  <c r="AL197" i="1" s="1"/>
  <c r="BJ196" i="1"/>
  <c r="BH196" i="1"/>
  <c r="AF196" i="1" s="1"/>
  <c r="BF196" i="1"/>
  <c r="BD196" i="1"/>
  <c r="AX196" i="1"/>
  <c r="AW196" i="1"/>
  <c r="AP196" i="1"/>
  <c r="AO196" i="1"/>
  <c r="H196" i="1" s="1"/>
  <c r="AL196" i="1"/>
  <c r="AK196" i="1"/>
  <c r="AJ196" i="1"/>
  <c r="AH196" i="1"/>
  <c r="AE196" i="1"/>
  <c r="AD196" i="1"/>
  <c r="AC196" i="1"/>
  <c r="AB196" i="1"/>
  <c r="Z196" i="1"/>
  <c r="J196" i="1"/>
  <c r="BJ195" i="1"/>
  <c r="BF195" i="1"/>
  <c r="BD195" i="1"/>
  <c r="AP195" i="1"/>
  <c r="AO195" i="1"/>
  <c r="AW195" i="1" s="1"/>
  <c r="AK195" i="1"/>
  <c r="AJ195" i="1"/>
  <c r="AH195" i="1"/>
  <c r="AE195" i="1"/>
  <c r="AD195" i="1"/>
  <c r="AC195" i="1"/>
  <c r="AB195" i="1"/>
  <c r="Z195" i="1"/>
  <c r="J195" i="1"/>
  <c r="AL195" i="1" s="1"/>
  <c r="BJ194" i="1"/>
  <c r="BF194" i="1"/>
  <c r="BD194" i="1"/>
  <c r="AP194" i="1"/>
  <c r="AX194" i="1" s="1"/>
  <c r="AO194" i="1"/>
  <c r="AL194" i="1"/>
  <c r="AK194" i="1"/>
  <c r="AJ194" i="1"/>
  <c r="AH194" i="1"/>
  <c r="AE194" i="1"/>
  <c r="AD194" i="1"/>
  <c r="AC194" i="1"/>
  <c r="AB194" i="1"/>
  <c r="Z194" i="1"/>
  <c r="J194" i="1"/>
  <c r="BJ193" i="1"/>
  <c r="BH193" i="1"/>
  <c r="AF193" i="1" s="1"/>
  <c r="BF193" i="1"/>
  <c r="BD193" i="1"/>
  <c r="AP193" i="1"/>
  <c r="BI193" i="1" s="1"/>
  <c r="AG193" i="1" s="1"/>
  <c r="AO193" i="1"/>
  <c r="H193" i="1" s="1"/>
  <c r="AK193" i="1"/>
  <c r="AJ193" i="1"/>
  <c r="AH193" i="1"/>
  <c r="AE193" i="1"/>
  <c r="AD193" i="1"/>
  <c r="AC193" i="1"/>
  <c r="AB193" i="1"/>
  <c r="Z193" i="1"/>
  <c r="J193" i="1"/>
  <c r="AL193" i="1" s="1"/>
  <c r="BJ192" i="1"/>
  <c r="BF192" i="1"/>
  <c r="BD192" i="1"/>
  <c r="AP192" i="1"/>
  <c r="I192" i="1" s="1"/>
  <c r="AO192" i="1"/>
  <c r="H192" i="1" s="1"/>
  <c r="AK192" i="1"/>
  <c r="AJ192" i="1"/>
  <c r="AH192" i="1"/>
  <c r="AE192" i="1"/>
  <c r="AD192" i="1"/>
  <c r="AC192" i="1"/>
  <c r="AB192" i="1"/>
  <c r="Z192" i="1"/>
  <c r="J192" i="1"/>
  <c r="AL192" i="1" s="1"/>
  <c r="BJ191" i="1"/>
  <c r="BF191" i="1"/>
  <c r="BD191" i="1"/>
  <c r="AP191" i="1"/>
  <c r="AO191" i="1"/>
  <c r="AK191" i="1"/>
  <c r="AJ191" i="1"/>
  <c r="AH191" i="1"/>
  <c r="AE191" i="1"/>
  <c r="AD191" i="1"/>
  <c r="AC191" i="1"/>
  <c r="AB191" i="1"/>
  <c r="Z191" i="1"/>
  <c r="J191" i="1"/>
  <c r="BJ190" i="1"/>
  <c r="BF190" i="1"/>
  <c r="BD190" i="1"/>
  <c r="AP190" i="1"/>
  <c r="AO190" i="1"/>
  <c r="BH190" i="1" s="1"/>
  <c r="AF190" i="1" s="1"/>
  <c r="AK190" i="1"/>
  <c r="AJ190" i="1"/>
  <c r="AH190" i="1"/>
  <c r="AE190" i="1"/>
  <c r="AD190" i="1"/>
  <c r="AC190" i="1"/>
  <c r="AB190" i="1"/>
  <c r="Z190" i="1"/>
  <c r="J190" i="1"/>
  <c r="AL190" i="1" s="1"/>
  <c r="H190" i="1"/>
  <c r="BJ188" i="1"/>
  <c r="BF188" i="1"/>
  <c r="BD188" i="1"/>
  <c r="AP188" i="1"/>
  <c r="BI188" i="1" s="1"/>
  <c r="AC188" i="1" s="1"/>
  <c r="AO188" i="1"/>
  <c r="H188" i="1" s="1"/>
  <c r="AK188" i="1"/>
  <c r="AJ188" i="1"/>
  <c r="AH188" i="1"/>
  <c r="AG188" i="1"/>
  <c r="AF188" i="1"/>
  <c r="AE188" i="1"/>
  <c r="AD188" i="1"/>
  <c r="Z188" i="1"/>
  <c r="J188" i="1"/>
  <c r="AL188" i="1" s="1"/>
  <c r="BJ187" i="1"/>
  <c r="BF187" i="1"/>
  <c r="BD187" i="1"/>
  <c r="AP187" i="1"/>
  <c r="AO187" i="1"/>
  <c r="H187" i="1" s="1"/>
  <c r="AK187" i="1"/>
  <c r="AJ187" i="1"/>
  <c r="AH187" i="1"/>
  <c r="AG187" i="1"/>
  <c r="AF187" i="1"/>
  <c r="AE187" i="1"/>
  <c r="AD187" i="1"/>
  <c r="Z187" i="1"/>
  <c r="J187" i="1"/>
  <c r="AL187" i="1" s="1"/>
  <c r="BJ186" i="1"/>
  <c r="BF186" i="1"/>
  <c r="BD186" i="1"/>
  <c r="AP186" i="1"/>
  <c r="BI186" i="1" s="1"/>
  <c r="AC186" i="1" s="1"/>
  <c r="AO186" i="1"/>
  <c r="H186" i="1" s="1"/>
  <c r="AK186" i="1"/>
  <c r="AJ186" i="1"/>
  <c r="AH186" i="1"/>
  <c r="AG186" i="1"/>
  <c r="AF186" i="1"/>
  <c r="AE186" i="1"/>
  <c r="AD186" i="1"/>
  <c r="Z186" i="1"/>
  <c r="J186" i="1"/>
  <c r="AL186" i="1" s="1"/>
  <c r="BJ185" i="1"/>
  <c r="BF185" i="1"/>
  <c r="BD185" i="1"/>
  <c r="AP185" i="1"/>
  <c r="I185" i="1" s="1"/>
  <c r="AO185" i="1"/>
  <c r="BH185" i="1" s="1"/>
  <c r="AB185" i="1" s="1"/>
  <c r="AK185" i="1"/>
  <c r="AJ185" i="1"/>
  <c r="AH185" i="1"/>
  <c r="AG185" i="1"/>
  <c r="AF185" i="1"/>
  <c r="AE185" i="1"/>
  <c r="AD185" i="1"/>
  <c r="Z185" i="1"/>
  <c r="J185" i="1"/>
  <c r="AL185" i="1" s="1"/>
  <c r="BJ184" i="1"/>
  <c r="BF184" i="1"/>
  <c r="BD184" i="1"/>
  <c r="AP184" i="1"/>
  <c r="AX184" i="1" s="1"/>
  <c r="AO184" i="1"/>
  <c r="BH184" i="1" s="1"/>
  <c r="AB184" i="1" s="1"/>
  <c r="AK184" i="1"/>
  <c r="AJ184" i="1"/>
  <c r="AH184" i="1"/>
  <c r="AG184" i="1"/>
  <c r="AF184" i="1"/>
  <c r="AE184" i="1"/>
  <c r="AD184" i="1"/>
  <c r="Z184" i="1"/>
  <c r="J184" i="1"/>
  <c r="AL184" i="1" s="1"/>
  <c r="BJ183" i="1"/>
  <c r="BF183" i="1"/>
  <c r="BD183" i="1"/>
  <c r="AP183" i="1"/>
  <c r="AX183" i="1" s="1"/>
  <c r="AO183" i="1"/>
  <c r="AK183" i="1"/>
  <c r="AJ183" i="1"/>
  <c r="AH183" i="1"/>
  <c r="AG183" i="1"/>
  <c r="AF183" i="1"/>
  <c r="AE183" i="1"/>
  <c r="AD183" i="1"/>
  <c r="Z183" i="1"/>
  <c r="J183" i="1"/>
  <c r="AL183" i="1" s="1"/>
  <c r="I183" i="1"/>
  <c r="BJ182" i="1"/>
  <c r="BF182" i="1"/>
  <c r="BD182" i="1"/>
  <c r="AX182" i="1"/>
  <c r="AP182" i="1"/>
  <c r="BI182" i="1" s="1"/>
  <c r="AC182" i="1" s="1"/>
  <c r="AO182" i="1"/>
  <c r="H182" i="1" s="1"/>
  <c r="AK182" i="1"/>
  <c r="AJ182" i="1"/>
  <c r="AH182" i="1"/>
  <c r="AG182" i="1"/>
  <c r="AF182" i="1"/>
  <c r="AE182" i="1"/>
  <c r="AD182" i="1"/>
  <c r="Z182" i="1"/>
  <c r="J182" i="1"/>
  <c r="AL182" i="1" s="1"/>
  <c r="I182" i="1"/>
  <c r="BJ181" i="1"/>
  <c r="BF181" i="1"/>
  <c r="BD181" i="1"/>
  <c r="AP181" i="1"/>
  <c r="AX181" i="1" s="1"/>
  <c r="AO181" i="1"/>
  <c r="AK181" i="1"/>
  <c r="AJ181" i="1"/>
  <c r="AH181" i="1"/>
  <c r="AG181" i="1"/>
  <c r="AF181" i="1"/>
  <c r="AE181" i="1"/>
  <c r="AD181" i="1"/>
  <c r="Z181" i="1"/>
  <c r="J181" i="1"/>
  <c r="AL181" i="1" s="1"/>
  <c r="BJ180" i="1"/>
  <c r="BF180" i="1"/>
  <c r="BD180" i="1"/>
  <c r="AP180" i="1"/>
  <c r="I180" i="1" s="1"/>
  <c r="AO180" i="1"/>
  <c r="AK180" i="1"/>
  <c r="AJ180" i="1"/>
  <c r="AH180" i="1"/>
  <c r="AG180" i="1"/>
  <c r="AF180" i="1"/>
  <c r="AE180" i="1"/>
  <c r="AD180" i="1"/>
  <c r="Z180" i="1"/>
  <c r="J180" i="1"/>
  <c r="AL180" i="1" s="1"/>
  <c r="BJ179" i="1"/>
  <c r="BF179" i="1"/>
  <c r="BD179" i="1"/>
  <c r="AP179" i="1"/>
  <c r="AX179" i="1" s="1"/>
  <c r="AO179" i="1"/>
  <c r="AK179" i="1"/>
  <c r="AJ179" i="1"/>
  <c r="AH179" i="1"/>
  <c r="AG179" i="1"/>
  <c r="AF179" i="1"/>
  <c r="AE179" i="1"/>
  <c r="AD179" i="1"/>
  <c r="Z179" i="1"/>
  <c r="J179" i="1"/>
  <c r="AL179" i="1" s="1"/>
  <c r="I179" i="1"/>
  <c r="H179" i="1"/>
  <c r="BJ178" i="1"/>
  <c r="BF178" i="1"/>
  <c r="BD178" i="1"/>
  <c r="AP178" i="1"/>
  <c r="AO178" i="1"/>
  <c r="BH178" i="1" s="1"/>
  <c r="AK178" i="1"/>
  <c r="AJ178" i="1"/>
  <c r="AH178" i="1"/>
  <c r="AG178" i="1"/>
  <c r="AF178" i="1"/>
  <c r="AE178" i="1"/>
  <c r="AD178" i="1"/>
  <c r="AB178" i="1"/>
  <c r="Z178" i="1"/>
  <c r="J178" i="1"/>
  <c r="AL178" i="1" s="1"/>
  <c r="BJ177" i="1"/>
  <c r="BF177" i="1"/>
  <c r="BD177" i="1"/>
  <c r="AP177" i="1"/>
  <c r="AO177" i="1"/>
  <c r="H177" i="1" s="1"/>
  <c r="AK177" i="1"/>
  <c r="AJ177" i="1"/>
  <c r="AH177" i="1"/>
  <c r="AG177" i="1"/>
  <c r="AF177" i="1"/>
  <c r="AE177" i="1"/>
  <c r="AD177" i="1"/>
  <c r="Z177" i="1"/>
  <c r="J177" i="1"/>
  <c r="AL177" i="1" s="1"/>
  <c r="BJ176" i="1"/>
  <c r="BF176" i="1"/>
  <c r="BD176" i="1"/>
  <c r="AP176" i="1"/>
  <c r="I176" i="1" s="1"/>
  <c r="AO176" i="1"/>
  <c r="AW176" i="1" s="1"/>
  <c r="AK176" i="1"/>
  <c r="AJ176" i="1"/>
  <c r="AH176" i="1"/>
  <c r="AG176" i="1"/>
  <c r="AF176" i="1"/>
  <c r="AE176" i="1"/>
  <c r="AD176" i="1"/>
  <c r="Z176" i="1"/>
  <c r="J176" i="1"/>
  <c r="AL176" i="1" s="1"/>
  <c r="BJ175" i="1"/>
  <c r="BF175" i="1"/>
  <c r="BD175" i="1"/>
  <c r="AP175" i="1"/>
  <c r="AX175" i="1" s="1"/>
  <c r="AO175" i="1"/>
  <c r="AK175" i="1"/>
  <c r="AJ175" i="1"/>
  <c r="AH175" i="1"/>
  <c r="AG175" i="1"/>
  <c r="AF175" i="1"/>
  <c r="AE175" i="1"/>
  <c r="AD175" i="1"/>
  <c r="Z175" i="1"/>
  <c r="J175" i="1"/>
  <c r="AL175" i="1" s="1"/>
  <c r="I175" i="1"/>
  <c r="H175" i="1"/>
  <c r="BJ174" i="1"/>
  <c r="BF174" i="1"/>
  <c r="BD174" i="1"/>
  <c r="AP174" i="1"/>
  <c r="AO174" i="1"/>
  <c r="BH174" i="1" s="1"/>
  <c r="AK174" i="1"/>
  <c r="AJ174" i="1"/>
  <c r="AS173" i="1" s="1"/>
  <c r="AH174" i="1"/>
  <c r="AG174" i="1"/>
  <c r="AF174" i="1"/>
  <c r="AE174" i="1"/>
  <c r="AD174" i="1"/>
  <c r="AB174" i="1"/>
  <c r="Z174" i="1"/>
  <c r="J174" i="1"/>
  <c r="AL174" i="1" s="1"/>
  <c r="H174" i="1"/>
  <c r="BJ172" i="1"/>
  <c r="BF172" i="1"/>
  <c r="BD172" i="1"/>
  <c r="AP172" i="1"/>
  <c r="AO172" i="1"/>
  <c r="AK172" i="1"/>
  <c r="AJ172" i="1"/>
  <c r="AH172" i="1"/>
  <c r="AG172" i="1"/>
  <c r="AF172" i="1"/>
  <c r="AE172" i="1"/>
  <c r="AD172" i="1"/>
  <c r="AC172" i="1"/>
  <c r="AB172" i="1"/>
  <c r="Z172" i="1"/>
  <c r="J172" i="1"/>
  <c r="AL172" i="1" s="1"/>
  <c r="BJ171" i="1"/>
  <c r="Z171" i="1" s="1"/>
  <c r="BF171" i="1"/>
  <c r="BD171" i="1"/>
  <c r="AP171" i="1"/>
  <c r="AO171" i="1"/>
  <c r="AK171" i="1"/>
  <c r="AJ171" i="1"/>
  <c r="AH171" i="1"/>
  <c r="AG171" i="1"/>
  <c r="AF171" i="1"/>
  <c r="AE171" i="1"/>
  <c r="AD171" i="1"/>
  <c r="AC171" i="1"/>
  <c r="AB171" i="1"/>
  <c r="J171" i="1"/>
  <c r="AL171" i="1" s="1"/>
  <c r="I171" i="1"/>
  <c r="BJ170" i="1"/>
  <c r="BF170" i="1"/>
  <c r="BD170" i="1"/>
  <c r="AP170" i="1"/>
  <c r="AO170" i="1"/>
  <c r="AK170" i="1"/>
  <c r="AJ170" i="1"/>
  <c r="AH170" i="1"/>
  <c r="AG170" i="1"/>
  <c r="AF170" i="1"/>
  <c r="AE170" i="1"/>
  <c r="AD170" i="1"/>
  <c r="Z170" i="1"/>
  <c r="J170" i="1"/>
  <c r="AL170" i="1" s="1"/>
  <c r="BJ169" i="1"/>
  <c r="Z169" i="1" s="1"/>
  <c r="BF169" i="1"/>
  <c r="BD169" i="1"/>
  <c r="AP169" i="1"/>
  <c r="AX169" i="1" s="1"/>
  <c r="AO169" i="1"/>
  <c r="AW169" i="1" s="1"/>
  <c r="AK169" i="1"/>
  <c r="AJ169" i="1"/>
  <c r="AH169" i="1"/>
  <c r="AG169" i="1"/>
  <c r="AF169" i="1"/>
  <c r="AE169" i="1"/>
  <c r="AD169" i="1"/>
  <c r="AC169" i="1"/>
  <c r="AB169" i="1"/>
  <c r="J169" i="1"/>
  <c r="AL169" i="1" s="1"/>
  <c r="BJ168" i="1"/>
  <c r="Z168" i="1" s="1"/>
  <c r="BF168" i="1"/>
  <c r="BD168" i="1"/>
  <c r="AP168" i="1"/>
  <c r="AO168" i="1"/>
  <c r="AK168" i="1"/>
  <c r="AJ168" i="1"/>
  <c r="AH168" i="1"/>
  <c r="AG168" i="1"/>
  <c r="AF168" i="1"/>
  <c r="AE168" i="1"/>
  <c r="AD168" i="1"/>
  <c r="AC168" i="1"/>
  <c r="AB168" i="1"/>
  <c r="J168" i="1"/>
  <c r="AL168" i="1" s="1"/>
  <c r="I168" i="1"/>
  <c r="BJ167" i="1"/>
  <c r="Z167" i="1" s="1"/>
  <c r="BH167" i="1"/>
  <c r="BF167" i="1"/>
  <c r="BD167" i="1"/>
  <c r="AP167" i="1"/>
  <c r="BI167" i="1" s="1"/>
  <c r="AO167" i="1"/>
  <c r="AW167" i="1" s="1"/>
  <c r="AK167" i="1"/>
  <c r="AJ167" i="1"/>
  <c r="AH167" i="1"/>
  <c r="AG167" i="1"/>
  <c r="AF167" i="1"/>
  <c r="AE167" i="1"/>
  <c r="AD167" i="1"/>
  <c r="AC167" i="1"/>
  <c r="AB167" i="1"/>
  <c r="J167" i="1"/>
  <c r="AL167" i="1" s="1"/>
  <c r="H167" i="1"/>
  <c r="BJ166" i="1"/>
  <c r="Z166" i="1" s="1"/>
  <c r="BF166" i="1"/>
  <c r="BD166" i="1"/>
  <c r="AP166" i="1"/>
  <c r="AO166" i="1"/>
  <c r="AK166" i="1"/>
  <c r="AJ166" i="1"/>
  <c r="AH166" i="1"/>
  <c r="AG166" i="1"/>
  <c r="AF166" i="1"/>
  <c r="AE166" i="1"/>
  <c r="AD166" i="1"/>
  <c r="AC166" i="1"/>
  <c r="AB166" i="1"/>
  <c r="J166" i="1"/>
  <c r="AL166" i="1" s="1"/>
  <c r="BJ165" i="1"/>
  <c r="Z165" i="1" s="1"/>
  <c r="BF165" i="1"/>
  <c r="BD165" i="1"/>
  <c r="AP165" i="1"/>
  <c r="AO165" i="1"/>
  <c r="AW165" i="1" s="1"/>
  <c r="AK165" i="1"/>
  <c r="AJ165" i="1"/>
  <c r="AH165" i="1"/>
  <c r="AG165" i="1"/>
  <c r="AF165" i="1"/>
  <c r="AE165" i="1"/>
  <c r="AD165" i="1"/>
  <c r="AC165" i="1"/>
  <c r="AB165" i="1"/>
  <c r="J165" i="1"/>
  <c r="AL165" i="1" s="1"/>
  <c r="BJ163" i="1"/>
  <c r="BF163" i="1"/>
  <c r="BD163" i="1"/>
  <c r="AP163" i="1"/>
  <c r="BI163" i="1" s="1"/>
  <c r="AC163" i="1" s="1"/>
  <c r="AO163" i="1"/>
  <c r="H163" i="1" s="1"/>
  <c r="AL163" i="1"/>
  <c r="AK163" i="1"/>
  <c r="AJ163" i="1"/>
  <c r="AH163" i="1"/>
  <c r="AG163" i="1"/>
  <c r="AF163" i="1"/>
  <c r="AE163" i="1"/>
  <c r="AD163" i="1"/>
  <c r="Z163" i="1"/>
  <c r="J163" i="1"/>
  <c r="I163" i="1"/>
  <c r="BJ162" i="1"/>
  <c r="Z162" i="1" s="1"/>
  <c r="BF162" i="1"/>
  <c r="BD162" i="1"/>
  <c r="AP162" i="1"/>
  <c r="AO162" i="1"/>
  <c r="H162" i="1" s="1"/>
  <c r="AK162" i="1"/>
  <c r="AJ162" i="1"/>
  <c r="AH162" i="1"/>
  <c r="AG162" i="1"/>
  <c r="AF162" i="1"/>
  <c r="AE162" i="1"/>
  <c r="AD162" i="1"/>
  <c r="AC162" i="1"/>
  <c r="AB162" i="1"/>
  <c r="J162" i="1"/>
  <c r="AL162" i="1" s="1"/>
  <c r="BJ161" i="1"/>
  <c r="Z161" i="1" s="1"/>
  <c r="BF161" i="1"/>
  <c r="BD161" i="1"/>
  <c r="AP161" i="1"/>
  <c r="AX161" i="1" s="1"/>
  <c r="AO161" i="1"/>
  <c r="BH161" i="1" s="1"/>
  <c r="AK161" i="1"/>
  <c r="AJ161" i="1"/>
  <c r="AH161" i="1"/>
  <c r="AG161" i="1"/>
  <c r="AF161" i="1"/>
  <c r="AE161" i="1"/>
  <c r="AD161" i="1"/>
  <c r="AC161" i="1"/>
  <c r="AB161" i="1"/>
  <c r="J161" i="1"/>
  <c r="AL161" i="1" s="1"/>
  <c r="BJ160" i="1"/>
  <c r="Z160" i="1" s="1"/>
  <c r="BF160" i="1"/>
  <c r="BD160" i="1"/>
  <c r="AP160" i="1"/>
  <c r="AO160" i="1"/>
  <c r="AK160" i="1"/>
  <c r="AJ160" i="1"/>
  <c r="AH160" i="1"/>
  <c r="AG160" i="1"/>
  <c r="AF160" i="1"/>
  <c r="AE160" i="1"/>
  <c r="AD160" i="1"/>
  <c r="AC160" i="1"/>
  <c r="AB160" i="1"/>
  <c r="J160" i="1"/>
  <c r="AL160" i="1" s="1"/>
  <c r="I160" i="1"/>
  <c r="BJ158" i="1"/>
  <c r="BF158" i="1"/>
  <c r="BD158" i="1"/>
  <c r="AP158" i="1"/>
  <c r="I158" i="1" s="1"/>
  <c r="AO158" i="1"/>
  <c r="AK158" i="1"/>
  <c r="AJ158" i="1"/>
  <c r="AH158" i="1"/>
  <c r="AG158" i="1"/>
  <c r="AF158" i="1"/>
  <c r="AE158" i="1"/>
  <c r="AD158" i="1"/>
  <c r="Z158" i="1"/>
  <c r="J158" i="1"/>
  <c r="AL158" i="1" s="1"/>
  <c r="BJ157" i="1"/>
  <c r="BF157" i="1"/>
  <c r="BD157" i="1"/>
  <c r="AW157" i="1"/>
  <c r="AP157" i="1"/>
  <c r="AO157" i="1"/>
  <c r="BH157" i="1" s="1"/>
  <c r="AB157" i="1" s="1"/>
  <c r="AK157" i="1"/>
  <c r="AJ157" i="1"/>
  <c r="AH157" i="1"/>
  <c r="AG157" i="1"/>
  <c r="AF157" i="1"/>
  <c r="AE157" i="1"/>
  <c r="AD157" i="1"/>
  <c r="Z157" i="1"/>
  <c r="J157" i="1"/>
  <c r="AL157" i="1" s="1"/>
  <c r="H157" i="1"/>
  <c r="BJ156" i="1"/>
  <c r="BF156" i="1"/>
  <c r="BD156" i="1"/>
  <c r="AP156" i="1"/>
  <c r="AX156" i="1" s="1"/>
  <c r="AO156" i="1"/>
  <c r="H156" i="1" s="1"/>
  <c r="AK156" i="1"/>
  <c r="AJ156" i="1"/>
  <c r="AH156" i="1"/>
  <c r="AG156" i="1"/>
  <c r="AF156" i="1"/>
  <c r="AE156" i="1"/>
  <c r="AD156" i="1"/>
  <c r="Z156" i="1"/>
  <c r="J156" i="1"/>
  <c r="AL156" i="1" s="1"/>
  <c r="BJ155" i="1"/>
  <c r="BF155" i="1"/>
  <c r="BD155" i="1"/>
  <c r="AP155" i="1"/>
  <c r="I155" i="1" s="1"/>
  <c r="AO155" i="1"/>
  <c r="AK155" i="1"/>
  <c r="AJ155" i="1"/>
  <c r="AH155" i="1"/>
  <c r="AG155" i="1"/>
  <c r="AF155" i="1"/>
  <c r="AE155" i="1"/>
  <c r="AD155" i="1"/>
  <c r="Z155" i="1"/>
  <c r="J155" i="1"/>
  <c r="AL155" i="1" s="1"/>
  <c r="BJ154" i="1"/>
  <c r="BF154" i="1"/>
  <c r="BD154" i="1"/>
  <c r="AP154" i="1"/>
  <c r="AX154" i="1" s="1"/>
  <c r="AO154" i="1"/>
  <c r="H154" i="1" s="1"/>
  <c r="AK154" i="1"/>
  <c r="AJ154" i="1"/>
  <c r="AH154" i="1"/>
  <c r="AG154" i="1"/>
  <c r="AF154" i="1"/>
  <c r="AE154" i="1"/>
  <c r="AD154" i="1"/>
  <c r="Z154" i="1"/>
  <c r="J154" i="1"/>
  <c r="AL154" i="1" s="1"/>
  <c r="BJ153" i="1"/>
  <c r="BF153" i="1"/>
  <c r="BD153" i="1"/>
  <c r="AP153" i="1"/>
  <c r="AO153" i="1"/>
  <c r="BH153" i="1" s="1"/>
  <c r="AK153" i="1"/>
  <c r="AJ153" i="1"/>
  <c r="AH153" i="1"/>
  <c r="AG153" i="1"/>
  <c r="AF153" i="1"/>
  <c r="AE153" i="1"/>
  <c r="AD153" i="1"/>
  <c r="AB153" i="1"/>
  <c r="Z153" i="1"/>
  <c r="J153" i="1"/>
  <c r="AL153" i="1" s="1"/>
  <c r="BJ152" i="1"/>
  <c r="BF152" i="1"/>
  <c r="BD152" i="1"/>
  <c r="AP152" i="1"/>
  <c r="AO152" i="1"/>
  <c r="AK152" i="1"/>
  <c r="AJ152" i="1"/>
  <c r="AH152" i="1"/>
  <c r="AG152" i="1"/>
  <c r="AF152" i="1"/>
  <c r="AE152" i="1"/>
  <c r="AD152" i="1"/>
  <c r="Z152" i="1"/>
  <c r="J152" i="1"/>
  <c r="AL152" i="1" s="1"/>
  <c r="I152" i="1"/>
  <c r="BJ151" i="1"/>
  <c r="BI151" i="1"/>
  <c r="AC151" i="1" s="1"/>
  <c r="BF151" i="1"/>
  <c r="BD151" i="1"/>
  <c r="AP151" i="1"/>
  <c r="AO151" i="1"/>
  <c r="AK151" i="1"/>
  <c r="AJ151" i="1"/>
  <c r="AH151" i="1"/>
  <c r="AG151" i="1"/>
  <c r="AF151" i="1"/>
  <c r="AE151" i="1"/>
  <c r="AD151" i="1"/>
  <c r="Z151" i="1"/>
  <c r="J151" i="1"/>
  <c r="AL151" i="1" s="1"/>
  <c r="BJ150" i="1"/>
  <c r="BF150" i="1"/>
  <c r="BD150" i="1"/>
  <c r="AW150" i="1"/>
  <c r="AP150" i="1"/>
  <c r="AO150" i="1"/>
  <c r="BH150" i="1" s="1"/>
  <c r="AK150" i="1"/>
  <c r="AJ150" i="1"/>
  <c r="AH150" i="1"/>
  <c r="AG150" i="1"/>
  <c r="AF150" i="1"/>
  <c r="AE150" i="1"/>
  <c r="AD150" i="1"/>
  <c r="AB150" i="1"/>
  <c r="Z150" i="1"/>
  <c r="J150" i="1"/>
  <c r="AL150" i="1" s="1"/>
  <c r="H150" i="1"/>
  <c r="BJ149" i="1"/>
  <c r="BF149" i="1"/>
  <c r="BD149" i="1"/>
  <c r="AP149" i="1"/>
  <c r="AO149" i="1"/>
  <c r="H149" i="1" s="1"/>
  <c r="AK149" i="1"/>
  <c r="AJ149" i="1"/>
  <c r="AH149" i="1"/>
  <c r="AG149" i="1"/>
  <c r="AF149" i="1"/>
  <c r="AE149" i="1"/>
  <c r="AD149" i="1"/>
  <c r="Z149" i="1"/>
  <c r="J149" i="1"/>
  <c r="AL149" i="1" s="1"/>
  <c r="BJ147" i="1"/>
  <c r="BF147" i="1"/>
  <c r="BD147" i="1"/>
  <c r="AP147" i="1"/>
  <c r="AO147" i="1"/>
  <c r="AK147" i="1"/>
  <c r="AT146" i="1" s="1"/>
  <c r="AJ147" i="1"/>
  <c r="AH147" i="1"/>
  <c r="AG147" i="1"/>
  <c r="AF147" i="1"/>
  <c r="AE147" i="1"/>
  <c r="AD147" i="1"/>
  <c r="Z147" i="1"/>
  <c r="J147" i="1"/>
  <c r="AL147" i="1" s="1"/>
  <c r="AU146" i="1" s="1"/>
  <c r="AS146" i="1"/>
  <c r="BJ145" i="1"/>
  <c r="BF145" i="1"/>
  <c r="BD145" i="1"/>
  <c r="AP145" i="1"/>
  <c r="BI145" i="1" s="1"/>
  <c r="AC145" i="1" s="1"/>
  <c r="AO145" i="1"/>
  <c r="AK145" i="1"/>
  <c r="AJ145" i="1"/>
  <c r="AH145" i="1"/>
  <c r="AG145" i="1"/>
  <c r="AF145" i="1"/>
  <c r="AE145" i="1"/>
  <c r="AD145" i="1"/>
  <c r="Z145" i="1"/>
  <c r="J145" i="1"/>
  <c r="AL145" i="1" s="1"/>
  <c r="BJ144" i="1"/>
  <c r="BF144" i="1"/>
  <c r="BD144" i="1"/>
  <c r="AP144" i="1"/>
  <c r="AX144" i="1" s="1"/>
  <c r="AO144" i="1"/>
  <c r="AK144" i="1"/>
  <c r="AJ144" i="1"/>
  <c r="AH144" i="1"/>
  <c r="AG144" i="1"/>
  <c r="AF144" i="1"/>
  <c r="AE144" i="1"/>
  <c r="AD144" i="1"/>
  <c r="Z144" i="1"/>
  <c r="J144" i="1"/>
  <c r="AL144" i="1" s="1"/>
  <c r="BJ143" i="1"/>
  <c r="BH143" i="1"/>
  <c r="AB143" i="1" s="1"/>
  <c r="BF143" i="1"/>
  <c r="BD143" i="1"/>
  <c r="AW143" i="1"/>
  <c r="AP143" i="1"/>
  <c r="BI143" i="1" s="1"/>
  <c r="AC143" i="1" s="1"/>
  <c r="AO143" i="1"/>
  <c r="AK143" i="1"/>
  <c r="AJ143" i="1"/>
  <c r="AH143" i="1"/>
  <c r="AG143" i="1"/>
  <c r="AF143" i="1"/>
  <c r="AE143" i="1"/>
  <c r="AD143" i="1"/>
  <c r="Z143" i="1"/>
  <c r="J143" i="1"/>
  <c r="AL143" i="1" s="1"/>
  <c r="H143" i="1"/>
  <c r="BJ142" i="1"/>
  <c r="BF142" i="1"/>
  <c r="BD142" i="1"/>
  <c r="AP142" i="1"/>
  <c r="AO142" i="1"/>
  <c r="AK142" i="1"/>
  <c r="AJ142" i="1"/>
  <c r="AH142" i="1"/>
  <c r="AG142" i="1"/>
  <c r="AF142" i="1"/>
  <c r="AE142" i="1"/>
  <c r="AD142" i="1"/>
  <c r="Z142" i="1"/>
  <c r="J142" i="1"/>
  <c r="AL142" i="1" s="1"/>
  <c r="BJ141" i="1"/>
  <c r="BF141" i="1"/>
  <c r="BD141" i="1"/>
  <c r="AP141" i="1"/>
  <c r="I141" i="1" s="1"/>
  <c r="AO141" i="1"/>
  <c r="AW141" i="1" s="1"/>
  <c r="AK141" i="1"/>
  <c r="AJ141" i="1"/>
  <c r="AH141" i="1"/>
  <c r="AG141" i="1"/>
  <c r="AF141" i="1"/>
  <c r="AE141" i="1"/>
  <c r="AD141" i="1"/>
  <c r="Z141" i="1"/>
  <c r="J141" i="1"/>
  <c r="AL141" i="1" s="1"/>
  <c r="BJ140" i="1"/>
  <c r="BF140" i="1"/>
  <c r="BD140" i="1"/>
  <c r="AP140" i="1"/>
  <c r="AX140" i="1" s="1"/>
  <c r="AO140" i="1"/>
  <c r="BH140" i="1" s="1"/>
  <c r="AB140" i="1" s="1"/>
  <c r="AK140" i="1"/>
  <c r="AJ140" i="1"/>
  <c r="AH140" i="1"/>
  <c r="AG140" i="1"/>
  <c r="AF140" i="1"/>
  <c r="AE140" i="1"/>
  <c r="AD140" i="1"/>
  <c r="Z140" i="1"/>
  <c r="J140" i="1"/>
  <c r="BJ138" i="1"/>
  <c r="BF138" i="1"/>
  <c r="BD138" i="1"/>
  <c r="AP138" i="1"/>
  <c r="I138" i="1" s="1"/>
  <c r="I137" i="1" s="1"/>
  <c r="K28" i="2" s="1"/>
  <c r="AO138" i="1"/>
  <c r="AW138" i="1" s="1"/>
  <c r="AK138" i="1"/>
  <c r="AT137" i="1" s="1"/>
  <c r="AJ138" i="1"/>
  <c r="AS137" i="1" s="1"/>
  <c r="AH138" i="1"/>
  <c r="AG138" i="1"/>
  <c r="AF138" i="1"/>
  <c r="AE138" i="1"/>
  <c r="AD138" i="1"/>
  <c r="Z138" i="1"/>
  <c r="J138" i="1"/>
  <c r="AL138" i="1" s="1"/>
  <c r="AU137" i="1" s="1"/>
  <c r="BJ136" i="1"/>
  <c r="BF136" i="1"/>
  <c r="BD136" i="1"/>
  <c r="AP136" i="1"/>
  <c r="BI136" i="1" s="1"/>
  <c r="AO136" i="1"/>
  <c r="AL136" i="1"/>
  <c r="AK136" i="1"/>
  <c r="AJ136" i="1"/>
  <c r="AH136" i="1"/>
  <c r="AG136" i="1"/>
  <c r="AF136" i="1"/>
  <c r="AE136" i="1"/>
  <c r="AC136" i="1"/>
  <c r="AB136" i="1"/>
  <c r="Z136" i="1"/>
  <c r="J136" i="1"/>
  <c r="I136" i="1"/>
  <c r="BJ135" i="1"/>
  <c r="BF135" i="1"/>
  <c r="BD135" i="1"/>
  <c r="AP135" i="1"/>
  <c r="AO135" i="1"/>
  <c r="H135" i="1" s="1"/>
  <c r="AK135" i="1"/>
  <c r="AJ135" i="1"/>
  <c r="AH135" i="1"/>
  <c r="AG135" i="1"/>
  <c r="AF135" i="1"/>
  <c r="AC135" i="1"/>
  <c r="AB135" i="1"/>
  <c r="Z135" i="1"/>
  <c r="J135" i="1"/>
  <c r="BJ134" i="1"/>
  <c r="BF134" i="1"/>
  <c r="BD134" i="1"/>
  <c r="AP134" i="1"/>
  <c r="AO134" i="1"/>
  <c r="AK134" i="1"/>
  <c r="AJ134" i="1"/>
  <c r="AS133" i="1" s="1"/>
  <c r="AH134" i="1"/>
  <c r="AG134" i="1"/>
  <c r="AF134" i="1"/>
  <c r="AC134" i="1"/>
  <c r="AB134" i="1"/>
  <c r="Z134" i="1"/>
  <c r="J134" i="1"/>
  <c r="AL134" i="1" s="1"/>
  <c r="H134" i="1"/>
  <c r="BJ132" i="1"/>
  <c r="BF132" i="1"/>
  <c r="BD132" i="1"/>
  <c r="AP132" i="1"/>
  <c r="AO132" i="1"/>
  <c r="H132" i="1" s="1"/>
  <c r="AK132" i="1"/>
  <c r="AJ132" i="1"/>
  <c r="AH132" i="1"/>
  <c r="AG132" i="1"/>
  <c r="AF132" i="1"/>
  <c r="AC132" i="1"/>
  <c r="AB132" i="1"/>
  <c r="Z132" i="1"/>
  <c r="J132" i="1"/>
  <c r="BJ131" i="1"/>
  <c r="BF131" i="1"/>
  <c r="BD131" i="1"/>
  <c r="AP131" i="1"/>
  <c r="AO131" i="1"/>
  <c r="AK131" i="1"/>
  <c r="AT130" i="1" s="1"/>
  <c r="AJ131" i="1"/>
  <c r="AS130" i="1" s="1"/>
  <c r="AH131" i="1"/>
  <c r="AG131" i="1"/>
  <c r="AF131" i="1"/>
  <c r="AC131" i="1"/>
  <c r="AB131" i="1"/>
  <c r="Z131" i="1"/>
  <c r="J131" i="1"/>
  <c r="AL131" i="1" s="1"/>
  <c r="H131" i="1"/>
  <c r="H130" i="1" s="1"/>
  <c r="J26" i="2" s="1"/>
  <c r="BJ129" i="1"/>
  <c r="BF129" i="1"/>
  <c r="BD129" i="1"/>
  <c r="AP129" i="1"/>
  <c r="BI129" i="1" s="1"/>
  <c r="AO129" i="1"/>
  <c r="AK129" i="1"/>
  <c r="AJ129" i="1"/>
  <c r="AS127" i="1" s="1"/>
  <c r="AH129" i="1"/>
  <c r="AG129" i="1"/>
  <c r="AF129" i="1"/>
  <c r="AE129" i="1"/>
  <c r="AD129" i="1"/>
  <c r="AC129" i="1"/>
  <c r="AB129" i="1"/>
  <c r="Z129" i="1"/>
  <c r="J129" i="1"/>
  <c r="H129" i="1"/>
  <c r="BJ128" i="1"/>
  <c r="BI128" i="1"/>
  <c r="AE128" i="1" s="1"/>
  <c r="BF128" i="1"/>
  <c r="BD128" i="1"/>
  <c r="AP128" i="1"/>
  <c r="AO128" i="1"/>
  <c r="AK128" i="1"/>
  <c r="AT127" i="1" s="1"/>
  <c r="AJ128" i="1"/>
  <c r="AH128" i="1"/>
  <c r="AG128" i="1"/>
  <c r="AF128" i="1"/>
  <c r="AC128" i="1"/>
  <c r="AB128" i="1"/>
  <c r="Z128" i="1"/>
  <c r="J128" i="1"/>
  <c r="AL128" i="1" s="1"/>
  <c r="BJ126" i="1"/>
  <c r="BF126" i="1"/>
  <c r="BD126" i="1"/>
  <c r="AP126" i="1"/>
  <c r="BI126" i="1" s="1"/>
  <c r="AE126" i="1" s="1"/>
  <c r="AO126" i="1"/>
  <c r="AK126" i="1"/>
  <c r="AJ126" i="1"/>
  <c r="AS125" i="1" s="1"/>
  <c r="AH126" i="1"/>
  <c r="AG126" i="1"/>
  <c r="AF126" i="1"/>
  <c r="AC126" i="1"/>
  <c r="AB126" i="1"/>
  <c r="Z126" i="1"/>
  <c r="J126" i="1"/>
  <c r="AL126" i="1" s="1"/>
  <c r="AU125" i="1" s="1"/>
  <c r="H126" i="1"/>
  <c r="H125" i="1" s="1"/>
  <c r="J24" i="2" s="1"/>
  <c r="AT125" i="1"/>
  <c r="BJ124" i="1"/>
  <c r="BF124" i="1"/>
  <c r="BD124" i="1"/>
  <c r="AP124" i="1"/>
  <c r="AX124" i="1" s="1"/>
  <c r="AO124" i="1"/>
  <c r="BH124" i="1" s="1"/>
  <c r="AL124" i="1"/>
  <c r="AK124" i="1"/>
  <c r="AJ124" i="1"/>
  <c r="AH124" i="1"/>
  <c r="AG124" i="1"/>
  <c r="AF124" i="1"/>
  <c r="AE124" i="1"/>
  <c r="AD124" i="1"/>
  <c r="AC124" i="1"/>
  <c r="AB124" i="1"/>
  <c r="Z124" i="1"/>
  <c r="J124" i="1"/>
  <c r="BJ123" i="1"/>
  <c r="BF123" i="1"/>
  <c r="BD123" i="1"/>
  <c r="AP123" i="1"/>
  <c r="I123" i="1" s="1"/>
  <c r="AO123" i="1"/>
  <c r="AW123" i="1" s="1"/>
  <c r="AK123" i="1"/>
  <c r="AJ123" i="1"/>
  <c r="AH123" i="1"/>
  <c r="AG123" i="1"/>
  <c r="AF123" i="1"/>
  <c r="AC123" i="1"/>
  <c r="AB123" i="1"/>
  <c r="Z123" i="1"/>
  <c r="J123" i="1"/>
  <c r="AL123" i="1" s="1"/>
  <c r="BJ122" i="1"/>
  <c r="BF122" i="1"/>
  <c r="BD122" i="1"/>
  <c r="AW122" i="1"/>
  <c r="AP122" i="1"/>
  <c r="AX122" i="1" s="1"/>
  <c r="AO122" i="1"/>
  <c r="BH122" i="1" s="1"/>
  <c r="AD122" i="1" s="1"/>
  <c r="AK122" i="1"/>
  <c r="AJ122" i="1"/>
  <c r="AH122" i="1"/>
  <c r="AG122" i="1"/>
  <c r="AF122" i="1"/>
  <c r="AC122" i="1"/>
  <c r="AB122" i="1"/>
  <c r="Z122" i="1"/>
  <c r="J122" i="1"/>
  <c r="AL122" i="1" s="1"/>
  <c r="H122" i="1"/>
  <c r="BJ121" i="1"/>
  <c r="BF121" i="1"/>
  <c r="BD121" i="1"/>
  <c r="AW121" i="1"/>
  <c r="AP121" i="1"/>
  <c r="BI121" i="1" s="1"/>
  <c r="AE121" i="1" s="1"/>
  <c r="AO121" i="1"/>
  <c r="BH121" i="1" s="1"/>
  <c r="AD121" i="1" s="1"/>
  <c r="AK121" i="1"/>
  <c r="AJ121" i="1"/>
  <c r="AH121" i="1"/>
  <c r="AG121" i="1"/>
  <c r="AF121" i="1"/>
  <c r="AC121" i="1"/>
  <c r="AB121" i="1"/>
  <c r="Z121" i="1"/>
  <c r="J121" i="1"/>
  <c r="AL121" i="1" s="1"/>
  <c r="I121" i="1"/>
  <c r="H121" i="1"/>
  <c r="BJ120" i="1"/>
  <c r="BF120" i="1"/>
  <c r="BD120" i="1"/>
  <c r="AP120" i="1"/>
  <c r="BI120" i="1" s="1"/>
  <c r="AE120" i="1" s="1"/>
  <c r="AO120" i="1"/>
  <c r="AW120" i="1" s="1"/>
  <c r="AK120" i="1"/>
  <c r="AJ120" i="1"/>
  <c r="AH120" i="1"/>
  <c r="AG120" i="1"/>
  <c r="AF120" i="1"/>
  <c r="AC120" i="1"/>
  <c r="AB120" i="1"/>
  <c r="Z120" i="1"/>
  <c r="J120" i="1"/>
  <c r="AL120" i="1" s="1"/>
  <c r="BJ119" i="1"/>
  <c r="BF119" i="1"/>
  <c r="BD119" i="1"/>
  <c r="AP119" i="1"/>
  <c r="I119" i="1" s="1"/>
  <c r="AO119" i="1"/>
  <c r="AK119" i="1"/>
  <c r="AJ119" i="1"/>
  <c r="AH119" i="1"/>
  <c r="AG119" i="1"/>
  <c r="AF119" i="1"/>
  <c r="AC119" i="1"/>
  <c r="AB119" i="1"/>
  <c r="Z119" i="1"/>
  <c r="J119" i="1"/>
  <c r="AL119" i="1" s="1"/>
  <c r="BJ118" i="1"/>
  <c r="BF118" i="1"/>
  <c r="BD118" i="1"/>
  <c r="AP118" i="1"/>
  <c r="AO118" i="1"/>
  <c r="AL118" i="1"/>
  <c r="AK118" i="1"/>
  <c r="AJ118" i="1"/>
  <c r="AH118" i="1"/>
  <c r="AG118" i="1"/>
  <c r="AF118" i="1"/>
  <c r="AC118" i="1"/>
  <c r="AB118" i="1"/>
  <c r="Z118" i="1"/>
  <c r="J118" i="1"/>
  <c r="BJ117" i="1"/>
  <c r="BH117" i="1"/>
  <c r="AD117" i="1" s="1"/>
  <c r="BF117" i="1"/>
  <c r="BD117" i="1"/>
  <c r="AP117" i="1"/>
  <c r="BI117" i="1" s="1"/>
  <c r="AE117" i="1" s="1"/>
  <c r="AO117" i="1"/>
  <c r="AW117" i="1" s="1"/>
  <c r="AK117" i="1"/>
  <c r="AJ117" i="1"/>
  <c r="AH117" i="1"/>
  <c r="AG117" i="1"/>
  <c r="AF117" i="1"/>
  <c r="AC117" i="1"/>
  <c r="AB117" i="1"/>
  <c r="Z117" i="1"/>
  <c r="J117" i="1"/>
  <c r="AL117" i="1" s="1"/>
  <c r="H117" i="1"/>
  <c r="BJ116" i="1"/>
  <c r="BF116" i="1"/>
  <c r="BD116" i="1"/>
  <c r="AW116" i="1"/>
  <c r="AP116" i="1"/>
  <c r="BI116" i="1" s="1"/>
  <c r="AO116" i="1"/>
  <c r="H116" i="1" s="1"/>
  <c r="AK116" i="1"/>
  <c r="AJ116" i="1"/>
  <c r="AH116" i="1"/>
  <c r="AG116" i="1"/>
  <c r="AF116" i="1"/>
  <c r="AE116" i="1"/>
  <c r="AC116" i="1"/>
  <c r="AB116" i="1"/>
  <c r="Z116" i="1"/>
  <c r="J116" i="1"/>
  <c r="AL116" i="1" s="1"/>
  <c r="BJ115" i="1"/>
  <c r="BF115" i="1"/>
  <c r="BD115" i="1"/>
  <c r="AP115" i="1"/>
  <c r="AO115" i="1"/>
  <c r="H115" i="1" s="1"/>
  <c r="AK115" i="1"/>
  <c r="AJ115" i="1"/>
  <c r="AH115" i="1"/>
  <c r="AG115" i="1"/>
  <c r="AF115" i="1"/>
  <c r="AC115" i="1"/>
  <c r="AB115" i="1"/>
  <c r="Z115" i="1"/>
  <c r="J115" i="1"/>
  <c r="AL115" i="1" s="1"/>
  <c r="BJ114" i="1"/>
  <c r="BF114" i="1"/>
  <c r="BD114" i="1"/>
  <c r="AP114" i="1"/>
  <c r="AO114" i="1"/>
  <c r="AK114" i="1"/>
  <c r="AJ114" i="1"/>
  <c r="AH114" i="1"/>
  <c r="AG114" i="1"/>
  <c r="AF114" i="1"/>
  <c r="AC114" i="1"/>
  <c r="AB114" i="1"/>
  <c r="Z114" i="1"/>
  <c r="J114" i="1"/>
  <c r="AL114" i="1" s="1"/>
  <c r="BJ113" i="1"/>
  <c r="BF113" i="1"/>
  <c r="BD113" i="1"/>
  <c r="AP113" i="1"/>
  <c r="I113" i="1" s="1"/>
  <c r="AO113" i="1"/>
  <c r="BH113" i="1" s="1"/>
  <c r="AD113" i="1" s="1"/>
  <c r="AK113" i="1"/>
  <c r="AJ113" i="1"/>
  <c r="AH113" i="1"/>
  <c r="AG113" i="1"/>
  <c r="AF113" i="1"/>
  <c r="AC113" i="1"/>
  <c r="AB113" i="1"/>
  <c r="Z113" i="1"/>
  <c r="J113" i="1"/>
  <c r="AL113" i="1" s="1"/>
  <c r="BJ112" i="1"/>
  <c r="BF112" i="1"/>
  <c r="BD112" i="1"/>
  <c r="AP112" i="1"/>
  <c r="AO112" i="1"/>
  <c r="H112" i="1" s="1"/>
  <c r="AK112" i="1"/>
  <c r="AJ112" i="1"/>
  <c r="AH112" i="1"/>
  <c r="AG112" i="1"/>
  <c r="AF112" i="1"/>
  <c r="AC112" i="1"/>
  <c r="AB112" i="1"/>
  <c r="Z112" i="1"/>
  <c r="J112" i="1"/>
  <c r="AL112" i="1" s="1"/>
  <c r="BJ111" i="1"/>
  <c r="BF111" i="1"/>
  <c r="BD111" i="1"/>
  <c r="AP111" i="1"/>
  <c r="AX111" i="1" s="1"/>
  <c r="AO111" i="1"/>
  <c r="AK111" i="1"/>
  <c r="AJ111" i="1"/>
  <c r="AH111" i="1"/>
  <c r="AG111" i="1"/>
  <c r="AF111" i="1"/>
  <c r="AC111" i="1"/>
  <c r="AB111" i="1"/>
  <c r="Z111" i="1"/>
  <c r="J111" i="1"/>
  <c r="AL111" i="1" s="1"/>
  <c r="BJ110" i="1"/>
  <c r="BF110" i="1"/>
  <c r="BD110" i="1"/>
  <c r="AW110" i="1"/>
  <c r="AV110" i="1" s="1"/>
  <c r="AP110" i="1"/>
  <c r="AX110" i="1" s="1"/>
  <c r="AO110" i="1"/>
  <c r="BH110" i="1" s="1"/>
  <c r="AD110" i="1" s="1"/>
  <c r="AK110" i="1"/>
  <c r="AJ110" i="1"/>
  <c r="AH110" i="1"/>
  <c r="AG110" i="1"/>
  <c r="AF110" i="1"/>
  <c r="AC110" i="1"/>
  <c r="AB110" i="1"/>
  <c r="Z110" i="1"/>
  <c r="J110" i="1"/>
  <c r="AL110" i="1" s="1"/>
  <c r="I110" i="1"/>
  <c r="H110" i="1"/>
  <c r="BJ109" i="1"/>
  <c r="BF109" i="1"/>
  <c r="BD109" i="1"/>
  <c r="AP109" i="1"/>
  <c r="BI109" i="1" s="1"/>
  <c r="AE109" i="1" s="1"/>
  <c r="AO109" i="1"/>
  <c r="AK109" i="1"/>
  <c r="AJ109" i="1"/>
  <c r="AH109" i="1"/>
  <c r="AG109" i="1"/>
  <c r="AF109" i="1"/>
  <c r="AC109" i="1"/>
  <c r="AB109" i="1"/>
  <c r="Z109" i="1"/>
  <c r="J109" i="1"/>
  <c r="AL109" i="1" s="1"/>
  <c r="BJ108" i="1"/>
  <c r="BF108" i="1"/>
  <c r="BD108" i="1"/>
  <c r="AP108" i="1"/>
  <c r="BI108" i="1" s="1"/>
  <c r="AE108" i="1" s="1"/>
  <c r="AO108" i="1"/>
  <c r="BH108" i="1" s="1"/>
  <c r="AD108" i="1" s="1"/>
  <c r="AK108" i="1"/>
  <c r="AJ108" i="1"/>
  <c r="AH108" i="1"/>
  <c r="AG108" i="1"/>
  <c r="AF108" i="1"/>
  <c r="AC108" i="1"/>
  <c r="AB108" i="1"/>
  <c r="Z108" i="1"/>
  <c r="J108" i="1"/>
  <c r="AL108" i="1" s="1"/>
  <c r="BJ107" i="1"/>
  <c r="BF107" i="1"/>
  <c r="BD107" i="1"/>
  <c r="AP107" i="1"/>
  <c r="AO107" i="1"/>
  <c r="AW107" i="1" s="1"/>
  <c r="AK107" i="1"/>
  <c r="AJ107" i="1"/>
  <c r="AH107" i="1"/>
  <c r="AG107" i="1"/>
  <c r="AF107" i="1"/>
  <c r="AC107" i="1"/>
  <c r="AB107" i="1"/>
  <c r="Z107" i="1"/>
  <c r="J107" i="1"/>
  <c r="AL107" i="1" s="1"/>
  <c r="BJ106" i="1"/>
  <c r="BF106" i="1"/>
  <c r="BD106" i="1"/>
  <c r="AP106" i="1"/>
  <c r="AX106" i="1" s="1"/>
  <c r="AO106" i="1"/>
  <c r="BH106" i="1" s="1"/>
  <c r="AD106" i="1" s="1"/>
  <c r="AK106" i="1"/>
  <c r="AJ106" i="1"/>
  <c r="AH106" i="1"/>
  <c r="AG106" i="1"/>
  <c r="AF106" i="1"/>
  <c r="AC106" i="1"/>
  <c r="AB106" i="1"/>
  <c r="Z106" i="1"/>
  <c r="J106" i="1"/>
  <c r="AL106" i="1" s="1"/>
  <c r="BJ105" i="1"/>
  <c r="BF105" i="1"/>
  <c r="BD105" i="1"/>
  <c r="AP105" i="1"/>
  <c r="BI105" i="1" s="1"/>
  <c r="AE105" i="1" s="1"/>
  <c r="AO105" i="1"/>
  <c r="BH105" i="1" s="1"/>
  <c r="AD105" i="1" s="1"/>
  <c r="AK105" i="1"/>
  <c r="AJ105" i="1"/>
  <c r="AH105" i="1"/>
  <c r="AG105" i="1"/>
  <c r="AF105" i="1"/>
  <c r="AC105" i="1"/>
  <c r="AB105" i="1"/>
  <c r="Z105" i="1"/>
  <c r="J105" i="1"/>
  <c r="AL105" i="1" s="1"/>
  <c r="I105" i="1"/>
  <c r="H105" i="1"/>
  <c r="BJ104" i="1"/>
  <c r="BF104" i="1"/>
  <c r="BD104" i="1"/>
  <c r="AP104" i="1"/>
  <c r="AO104" i="1"/>
  <c r="AK104" i="1"/>
  <c r="AJ104" i="1"/>
  <c r="AH104" i="1"/>
  <c r="AG104" i="1"/>
  <c r="AF104" i="1"/>
  <c r="AC104" i="1"/>
  <c r="AB104" i="1"/>
  <c r="Z104" i="1"/>
  <c r="J104" i="1"/>
  <c r="AL104" i="1" s="1"/>
  <c r="BJ103" i="1"/>
  <c r="BF103" i="1"/>
  <c r="BD103" i="1"/>
  <c r="AP103" i="1"/>
  <c r="I103" i="1" s="1"/>
  <c r="AO103" i="1"/>
  <c r="AW103" i="1" s="1"/>
  <c r="AK103" i="1"/>
  <c r="AJ103" i="1"/>
  <c r="AH103" i="1"/>
  <c r="AG103" i="1"/>
  <c r="AF103" i="1"/>
  <c r="AC103" i="1"/>
  <c r="AB103" i="1"/>
  <c r="Z103" i="1"/>
  <c r="J103" i="1"/>
  <c r="AL103" i="1" s="1"/>
  <c r="BJ102" i="1"/>
  <c r="BF102" i="1"/>
  <c r="BD102" i="1"/>
  <c r="AP102" i="1"/>
  <c r="I102" i="1" s="1"/>
  <c r="AO102" i="1"/>
  <c r="BH102" i="1" s="1"/>
  <c r="AD102" i="1" s="1"/>
  <c r="AK102" i="1"/>
  <c r="AJ102" i="1"/>
  <c r="AH102" i="1"/>
  <c r="AG102" i="1"/>
  <c r="AF102" i="1"/>
  <c r="AC102" i="1"/>
  <c r="AB102" i="1"/>
  <c r="Z102" i="1"/>
  <c r="J102" i="1"/>
  <c r="AL102" i="1" s="1"/>
  <c r="BJ101" i="1"/>
  <c r="BF101" i="1"/>
  <c r="BD101" i="1"/>
  <c r="AP101" i="1"/>
  <c r="AO101" i="1"/>
  <c r="BH101" i="1" s="1"/>
  <c r="AD101" i="1" s="1"/>
  <c r="AK101" i="1"/>
  <c r="AJ101" i="1"/>
  <c r="AH101" i="1"/>
  <c r="AG101" i="1"/>
  <c r="AF101" i="1"/>
  <c r="AC101" i="1"/>
  <c r="AB101" i="1"/>
  <c r="Z101" i="1"/>
  <c r="J101" i="1"/>
  <c r="AL101" i="1" s="1"/>
  <c r="BJ100" i="1"/>
  <c r="BF100" i="1"/>
  <c r="BD100" i="1"/>
  <c r="AP100" i="1"/>
  <c r="BI100" i="1" s="1"/>
  <c r="AO100" i="1"/>
  <c r="AK100" i="1"/>
  <c r="AJ100" i="1"/>
  <c r="AH100" i="1"/>
  <c r="AG100" i="1"/>
  <c r="AF100" i="1"/>
  <c r="AE100" i="1"/>
  <c r="AC100" i="1"/>
  <c r="AB100" i="1"/>
  <c r="Z100" i="1"/>
  <c r="J100" i="1"/>
  <c r="AL100" i="1" s="1"/>
  <c r="BJ99" i="1"/>
  <c r="BF99" i="1"/>
  <c r="BD99" i="1"/>
  <c r="AP99" i="1"/>
  <c r="AO99" i="1"/>
  <c r="H99" i="1" s="1"/>
  <c r="AK99" i="1"/>
  <c r="AJ99" i="1"/>
  <c r="AH99" i="1"/>
  <c r="AG99" i="1"/>
  <c r="AF99" i="1"/>
  <c r="AC99" i="1"/>
  <c r="AB99" i="1"/>
  <c r="Z99" i="1"/>
  <c r="J99" i="1"/>
  <c r="AL99" i="1" s="1"/>
  <c r="BJ98" i="1"/>
  <c r="BF98" i="1"/>
  <c r="BD98" i="1"/>
  <c r="AP98" i="1"/>
  <c r="AO98" i="1"/>
  <c r="H98" i="1" s="1"/>
  <c r="AK98" i="1"/>
  <c r="AJ98" i="1"/>
  <c r="AH98" i="1"/>
  <c r="AG98" i="1"/>
  <c r="AF98" i="1"/>
  <c r="AC98" i="1"/>
  <c r="AB98" i="1"/>
  <c r="Z98" i="1"/>
  <c r="J98" i="1"/>
  <c r="AL98" i="1" s="1"/>
  <c r="BJ97" i="1"/>
  <c r="BF97" i="1"/>
  <c r="BD97" i="1"/>
  <c r="AP97" i="1"/>
  <c r="BI97" i="1" s="1"/>
  <c r="AE97" i="1" s="1"/>
  <c r="AO97" i="1"/>
  <c r="H97" i="1" s="1"/>
  <c r="AK97" i="1"/>
  <c r="AJ97" i="1"/>
  <c r="AH97" i="1"/>
  <c r="AG97" i="1"/>
  <c r="AF97" i="1"/>
  <c r="AC97" i="1"/>
  <c r="AB97" i="1"/>
  <c r="Z97" i="1"/>
  <c r="J97" i="1"/>
  <c r="AL97" i="1" s="1"/>
  <c r="BJ96" i="1"/>
  <c r="BF96" i="1"/>
  <c r="BD96" i="1"/>
  <c r="AP96" i="1"/>
  <c r="BI96" i="1" s="1"/>
  <c r="AE96" i="1" s="1"/>
  <c r="AO96" i="1"/>
  <c r="AL96" i="1"/>
  <c r="AK96" i="1"/>
  <c r="AJ96" i="1"/>
  <c r="AH96" i="1"/>
  <c r="AG96" i="1"/>
  <c r="AF96" i="1"/>
  <c r="AC96" i="1"/>
  <c r="AB96" i="1"/>
  <c r="Z96" i="1"/>
  <c r="J96" i="1"/>
  <c r="I96" i="1"/>
  <c r="BJ95" i="1"/>
  <c r="BF95" i="1"/>
  <c r="BD95" i="1"/>
  <c r="AP95" i="1"/>
  <c r="AX95" i="1" s="1"/>
  <c r="AO95" i="1"/>
  <c r="AW95" i="1" s="1"/>
  <c r="AK95" i="1"/>
  <c r="AJ95" i="1"/>
  <c r="AH95" i="1"/>
  <c r="AG95" i="1"/>
  <c r="AF95" i="1"/>
  <c r="AC95" i="1"/>
  <c r="AB95" i="1"/>
  <c r="Z95" i="1"/>
  <c r="J95" i="1"/>
  <c r="AL95" i="1" s="1"/>
  <c r="BJ94" i="1"/>
  <c r="BF94" i="1"/>
  <c r="BD94" i="1"/>
  <c r="AP94" i="1"/>
  <c r="AO94" i="1"/>
  <c r="H94" i="1" s="1"/>
  <c r="AK94" i="1"/>
  <c r="AJ94" i="1"/>
  <c r="AH94" i="1"/>
  <c r="AG94" i="1"/>
  <c r="AF94" i="1"/>
  <c r="AC94" i="1"/>
  <c r="AB94" i="1"/>
  <c r="Z94" i="1"/>
  <c r="J94" i="1"/>
  <c r="AL94" i="1" s="1"/>
  <c r="BJ92" i="1"/>
  <c r="Z92" i="1" s="1"/>
  <c r="BF92" i="1"/>
  <c r="BD92" i="1"/>
  <c r="AP92" i="1"/>
  <c r="AX92" i="1" s="1"/>
  <c r="AO92" i="1"/>
  <c r="AK92" i="1"/>
  <c r="AJ92" i="1"/>
  <c r="AH92" i="1"/>
  <c r="AG92" i="1"/>
  <c r="AF92" i="1"/>
  <c r="AE92" i="1"/>
  <c r="AD92" i="1"/>
  <c r="AC92" i="1"/>
  <c r="AB92" i="1"/>
  <c r="J92" i="1"/>
  <c r="AL92" i="1" s="1"/>
  <c r="BJ91" i="1"/>
  <c r="BF91" i="1"/>
  <c r="BD91" i="1"/>
  <c r="AP91" i="1"/>
  <c r="AX91" i="1" s="1"/>
  <c r="AO91" i="1"/>
  <c r="BH91" i="1" s="1"/>
  <c r="AD91" i="1" s="1"/>
  <c r="AK91" i="1"/>
  <c r="AJ91" i="1"/>
  <c r="AH91" i="1"/>
  <c r="AG91" i="1"/>
  <c r="AF91" i="1"/>
  <c r="AC91" i="1"/>
  <c r="AB91" i="1"/>
  <c r="Z91" i="1"/>
  <c r="J91" i="1"/>
  <c r="AL91" i="1" s="1"/>
  <c r="I91" i="1"/>
  <c r="BJ90" i="1"/>
  <c r="BF90" i="1"/>
  <c r="BD90" i="1"/>
  <c r="AP90" i="1"/>
  <c r="I90" i="1" s="1"/>
  <c r="AO90" i="1"/>
  <c r="AK90" i="1"/>
  <c r="AJ90" i="1"/>
  <c r="AH90" i="1"/>
  <c r="AG90" i="1"/>
  <c r="AF90" i="1"/>
  <c r="AC90" i="1"/>
  <c r="AB90" i="1"/>
  <c r="Z90" i="1"/>
  <c r="J90" i="1"/>
  <c r="AL90" i="1" s="1"/>
  <c r="BJ89" i="1"/>
  <c r="BF89" i="1"/>
  <c r="BD89" i="1"/>
  <c r="AP89" i="1"/>
  <c r="AX89" i="1" s="1"/>
  <c r="AO89" i="1"/>
  <c r="AK89" i="1"/>
  <c r="AJ89" i="1"/>
  <c r="AH89" i="1"/>
  <c r="AG89" i="1"/>
  <c r="AF89" i="1"/>
  <c r="AC89" i="1"/>
  <c r="AB89" i="1"/>
  <c r="Z89" i="1"/>
  <c r="J89" i="1"/>
  <c r="AL89" i="1" s="1"/>
  <c r="BJ88" i="1"/>
  <c r="BF88" i="1"/>
  <c r="BD88" i="1"/>
  <c r="AP88" i="1"/>
  <c r="I88" i="1" s="1"/>
  <c r="AO88" i="1"/>
  <c r="AW88" i="1" s="1"/>
  <c r="AK88" i="1"/>
  <c r="AJ88" i="1"/>
  <c r="AH88" i="1"/>
  <c r="AG88" i="1"/>
  <c r="AF88" i="1"/>
  <c r="AC88" i="1"/>
  <c r="AB88" i="1"/>
  <c r="Z88" i="1"/>
  <c r="J88" i="1"/>
  <c r="AL88" i="1" s="1"/>
  <c r="BJ87" i="1"/>
  <c r="BF87" i="1"/>
  <c r="BD87" i="1"/>
  <c r="AP87" i="1"/>
  <c r="AX87" i="1" s="1"/>
  <c r="AO87" i="1"/>
  <c r="BH87" i="1" s="1"/>
  <c r="AD87" i="1" s="1"/>
  <c r="AK87" i="1"/>
  <c r="AJ87" i="1"/>
  <c r="AH87" i="1"/>
  <c r="AG87" i="1"/>
  <c r="AF87" i="1"/>
  <c r="AC87" i="1"/>
  <c r="AB87" i="1"/>
  <c r="Z87" i="1"/>
  <c r="J87" i="1"/>
  <c r="AL87" i="1" s="1"/>
  <c r="BJ86" i="1"/>
  <c r="BF86" i="1"/>
  <c r="BD86" i="1"/>
  <c r="AP86" i="1"/>
  <c r="AO86" i="1"/>
  <c r="AW86" i="1" s="1"/>
  <c r="AK86" i="1"/>
  <c r="AJ86" i="1"/>
  <c r="AH86" i="1"/>
  <c r="AG86" i="1"/>
  <c r="AF86" i="1"/>
  <c r="AC86" i="1"/>
  <c r="AB86" i="1"/>
  <c r="Z86" i="1"/>
  <c r="J86" i="1"/>
  <c r="AL86" i="1" s="1"/>
  <c r="BJ85" i="1"/>
  <c r="BF85" i="1"/>
  <c r="BD85" i="1"/>
  <c r="AP85" i="1"/>
  <c r="AO85" i="1"/>
  <c r="AK85" i="1"/>
  <c r="AJ85" i="1"/>
  <c r="AH85" i="1"/>
  <c r="AG85" i="1"/>
  <c r="AF85" i="1"/>
  <c r="AC85" i="1"/>
  <c r="AB85" i="1"/>
  <c r="Z85" i="1"/>
  <c r="J85" i="1"/>
  <c r="BJ83" i="1"/>
  <c r="Z83" i="1" s="1"/>
  <c r="BF83" i="1"/>
  <c r="BD83" i="1"/>
  <c r="AP83" i="1"/>
  <c r="BI83" i="1" s="1"/>
  <c r="AO83" i="1"/>
  <c r="AK83" i="1"/>
  <c r="AJ83" i="1"/>
  <c r="AH83" i="1"/>
  <c r="AG83" i="1"/>
  <c r="AF83" i="1"/>
  <c r="AE83" i="1"/>
  <c r="AD83" i="1"/>
  <c r="AC83" i="1"/>
  <c r="AB83" i="1"/>
  <c r="J83" i="1"/>
  <c r="AL83" i="1" s="1"/>
  <c r="I83" i="1"/>
  <c r="BJ82" i="1"/>
  <c r="Z82" i="1" s="1"/>
  <c r="BF82" i="1"/>
  <c r="BD82" i="1"/>
  <c r="AX82" i="1"/>
  <c r="AP82" i="1"/>
  <c r="BI82" i="1" s="1"/>
  <c r="AO82" i="1"/>
  <c r="H82" i="1" s="1"/>
  <c r="AK82" i="1"/>
  <c r="AJ82" i="1"/>
  <c r="AH82" i="1"/>
  <c r="AG82" i="1"/>
  <c r="AF82" i="1"/>
  <c r="AE82" i="1"/>
  <c r="AD82" i="1"/>
  <c r="AC82" i="1"/>
  <c r="AB82" i="1"/>
  <c r="J82" i="1"/>
  <c r="AL82" i="1" s="1"/>
  <c r="BJ81" i="1"/>
  <c r="BF81" i="1"/>
  <c r="BD81" i="1"/>
  <c r="AP81" i="1"/>
  <c r="AX81" i="1" s="1"/>
  <c r="AO81" i="1"/>
  <c r="AW81" i="1" s="1"/>
  <c r="AK81" i="1"/>
  <c r="AJ81" i="1"/>
  <c r="AH81" i="1"/>
  <c r="AG81" i="1"/>
  <c r="AF81" i="1"/>
  <c r="AC81" i="1"/>
  <c r="AB81" i="1"/>
  <c r="Z81" i="1"/>
  <c r="J81" i="1"/>
  <c r="AL81" i="1" s="1"/>
  <c r="BJ80" i="1"/>
  <c r="BF80" i="1"/>
  <c r="BD80" i="1"/>
  <c r="AP80" i="1"/>
  <c r="AX80" i="1" s="1"/>
  <c r="AO80" i="1"/>
  <c r="BH80" i="1" s="1"/>
  <c r="AD80" i="1" s="1"/>
  <c r="AK80" i="1"/>
  <c r="AJ80" i="1"/>
  <c r="AH80" i="1"/>
  <c r="AG80" i="1"/>
  <c r="AF80" i="1"/>
  <c r="AC80" i="1"/>
  <c r="AB80" i="1"/>
  <c r="Z80" i="1"/>
  <c r="J80" i="1"/>
  <c r="AL80" i="1" s="1"/>
  <c r="BJ79" i="1"/>
  <c r="BF79" i="1"/>
  <c r="BD79" i="1"/>
  <c r="AP79" i="1"/>
  <c r="BI79" i="1" s="1"/>
  <c r="AE79" i="1" s="1"/>
  <c r="AO79" i="1"/>
  <c r="AK79" i="1"/>
  <c r="AJ79" i="1"/>
  <c r="AH79" i="1"/>
  <c r="AG79" i="1"/>
  <c r="AF79" i="1"/>
  <c r="AC79" i="1"/>
  <c r="AB79" i="1"/>
  <c r="Z79" i="1"/>
  <c r="J79" i="1"/>
  <c r="AL79" i="1" s="1"/>
  <c r="BJ78" i="1"/>
  <c r="BF78" i="1"/>
  <c r="BD78" i="1"/>
  <c r="AP78" i="1"/>
  <c r="AX78" i="1" s="1"/>
  <c r="AO78" i="1"/>
  <c r="AK78" i="1"/>
  <c r="AJ78" i="1"/>
  <c r="AH78" i="1"/>
  <c r="AG78" i="1"/>
  <c r="AF78" i="1"/>
  <c r="AC78" i="1"/>
  <c r="AB78" i="1"/>
  <c r="Z78" i="1"/>
  <c r="J78" i="1"/>
  <c r="AL78" i="1" s="1"/>
  <c r="BJ77" i="1"/>
  <c r="BF77" i="1"/>
  <c r="BD77" i="1"/>
  <c r="AP77" i="1"/>
  <c r="I77" i="1" s="1"/>
  <c r="AO77" i="1"/>
  <c r="AW77" i="1" s="1"/>
  <c r="AK77" i="1"/>
  <c r="AJ77" i="1"/>
  <c r="AH77" i="1"/>
  <c r="AG77" i="1"/>
  <c r="AF77" i="1"/>
  <c r="AC77" i="1"/>
  <c r="AB77" i="1"/>
  <c r="Z77" i="1"/>
  <c r="J77" i="1"/>
  <c r="AL77" i="1" s="1"/>
  <c r="BJ76" i="1"/>
  <c r="BF76" i="1"/>
  <c r="BD76" i="1"/>
  <c r="AP76" i="1"/>
  <c r="AX76" i="1" s="1"/>
  <c r="AO76" i="1"/>
  <c r="BH76" i="1" s="1"/>
  <c r="AD76" i="1" s="1"/>
  <c r="AK76" i="1"/>
  <c r="AJ76" i="1"/>
  <c r="AH76" i="1"/>
  <c r="AG76" i="1"/>
  <c r="AF76" i="1"/>
  <c r="AC76" i="1"/>
  <c r="AB76" i="1"/>
  <c r="Z76" i="1"/>
  <c r="J76" i="1"/>
  <c r="AL76" i="1" s="1"/>
  <c r="BJ75" i="1"/>
  <c r="BF75" i="1"/>
  <c r="BD75" i="1"/>
  <c r="AP75" i="1"/>
  <c r="BI75" i="1" s="1"/>
  <c r="AE75" i="1" s="1"/>
  <c r="AO75" i="1"/>
  <c r="BH75" i="1" s="1"/>
  <c r="AD75" i="1" s="1"/>
  <c r="AK75" i="1"/>
  <c r="AJ75" i="1"/>
  <c r="AH75" i="1"/>
  <c r="AG75" i="1"/>
  <c r="AF75" i="1"/>
  <c r="AC75" i="1"/>
  <c r="AB75" i="1"/>
  <c r="Z75" i="1"/>
  <c r="J75" i="1"/>
  <c r="AL75" i="1" s="1"/>
  <c r="BJ74" i="1"/>
  <c r="BF74" i="1"/>
  <c r="BD74" i="1"/>
  <c r="AP74" i="1"/>
  <c r="BI74" i="1" s="1"/>
  <c r="AE74" i="1" s="1"/>
  <c r="AO74" i="1"/>
  <c r="AW74" i="1" s="1"/>
  <c r="AK74" i="1"/>
  <c r="AJ74" i="1"/>
  <c r="AH74" i="1"/>
  <c r="AG74" i="1"/>
  <c r="AF74" i="1"/>
  <c r="AC74" i="1"/>
  <c r="AB74" i="1"/>
  <c r="Z74" i="1"/>
  <c r="J74" i="1"/>
  <c r="AL74" i="1" s="1"/>
  <c r="BJ73" i="1"/>
  <c r="BF73" i="1"/>
  <c r="BD73" i="1"/>
  <c r="AP73" i="1"/>
  <c r="I73" i="1" s="1"/>
  <c r="AO73" i="1"/>
  <c r="AW73" i="1" s="1"/>
  <c r="AK73" i="1"/>
  <c r="AJ73" i="1"/>
  <c r="AH73" i="1"/>
  <c r="AG73" i="1"/>
  <c r="AF73" i="1"/>
  <c r="AC73" i="1"/>
  <c r="AB73" i="1"/>
  <c r="Z73" i="1"/>
  <c r="J73" i="1"/>
  <c r="AL73" i="1" s="1"/>
  <c r="BJ72" i="1"/>
  <c r="BF72" i="1"/>
  <c r="BD72" i="1"/>
  <c r="AP72" i="1"/>
  <c r="I72" i="1" s="1"/>
  <c r="AO72" i="1"/>
  <c r="BH72" i="1" s="1"/>
  <c r="AD72" i="1" s="1"/>
  <c r="AK72" i="1"/>
  <c r="AJ72" i="1"/>
  <c r="AH72" i="1"/>
  <c r="AG72" i="1"/>
  <c r="AF72" i="1"/>
  <c r="AC72" i="1"/>
  <c r="AB72" i="1"/>
  <c r="Z72" i="1"/>
  <c r="J72" i="1"/>
  <c r="AL72" i="1" s="1"/>
  <c r="BJ71" i="1"/>
  <c r="BH71" i="1"/>
  <c r="AD71" i="1" s="1"/>
  <c r="BF71" i="1"/>
  <c r="BD71" i="1"/>
  <c r="AW71" i="1"/>
  <c r="AP71" i="1"/>
  <c r="BI71" i="1" s="1"/>
  <c r="AE71" i="1" s="1"/>
  <c r="AO71" i="1"/>
  <c r="H71" i="1" s="1"/>
  <c r="AK71" i="1"/>
  <c r="AJ71" i="1"/>
  <c r="AH71" i="1"/>
  <c r="AG71" i="1"/>
  <c r="AF71" i="1"/>
  <c r="AC71" i="1"/>
  <c r="AB71" i="1"/>
  <c r="Z71" i="1"/>
  <c r="J71" i="1"/>
  <c r="AL71" i="1" s="1"/>
  <c r="I71" i="1"/>
  <c r="BJ70" i="1"/>
  <c r="BF70" i="1"/>
  <c r="BD70" i="1"/>
  <c r="AW70" i="1"/>
  <c r="AP70" i="1"/>
  <c r="BI70" i="1" s="1"/>
  <c r="AE70" i="1" s="1"/>
  <c r="AO70" i="1"/>
  <c r="H70" i="1" s="1"/>
  <c r="AK70" i="1"/>
  <c r="AJ70" i="1"/>
  <c r="AH70" i="1"/>
  <c r="AG70" i="1"/>
  <c r="AF70" i="1"/>
  <c r="AC70" i="1"/>
  <c r="AB70" i="1"/>
  <c r="Z70" i="1"/>
  <c r="J70" i="1"/>
  <c r="AL70" i="1" s="1"/>
  <c r="BJ69" i="1"/>
  <c r="BF69" i="1"/>
  <c r="BD69" i="1"/>
  <c r="AP69" i="1"/>
  <c r="BI69" i="1" s="1"/>
  <c r="AE69" i="1" s="1"/>
  <c r="AO69" i="1"/>
  <c r="H69" i="1" s="1"/>
  <c r="AK69" i="1"/>
  <c r="AJ69" i="1"/>
  <c r="AH69" i="1"/>
  <c r="AG69" i="1"/>
  <c r="AF69" i="1"/>
  <c r="AC69" i="1"/>
  <c r="AB69" i="1"/>
  <c r="Z69" i="1"/>
  <c r="J69" i="1"/>
  <c r="AL69" i="1" s="1"/>
  <c r="BJ67" i="1"/>
  <c r="Z67" i="1" s="1"/>
  <c r="BF67" i="1"/>
  <c r="BD67" i="1"/>
  <c r="AP67" i="1"/>
  <c r="BI67" i="1" s="1"/>
  <c r="AO67" i="1"/>
  <c r="BH67" i="1" s="1"/>
  <c r="AL67" i="1"/>
  <c r="AK67" i="1"/>
  <c r="AJ67" i="1"/>
  <c r="AH67" i="1"/>
  <c r="AG67" i="1"/>
  <c r="AF67" i="1"/>
  <c r="AE67" i="1"/>
  <c r="AD67" i="1"/>
  <c r="AC67" i="1"/>
  <c r="AB67" i="1"/>
  <c r="J67" i="1"/>
  <c r="BJ66" i="1"/>
  <c r="BF66" i="1"/>
  <c r="BD66" i="1"/>
  <c r="AP66" i="1"/>
  <c r="I66" i="1" s="1"/>
  <c r="AO66" i="1"/>
  <c r="AW66" i="1" s="1"/>
  <c r="AK66" i="1"/>
  <c r="AJ66" i="1"/>
  <c r="AH66" i="1"/>
  <c r="AG66" i="1"/>
  <c r="AF66" i="1"/>
  <c r="AC66" i="1"/>
  <c r="AB66" i="1"/>
  <c r="Z66" i="1"/>
  <c r="J66" i="1"/>
  <c r="AL66" i="1" s="1"/>
  <c r="BJ65" i="1"/>
  <c r="BF65" i="1"/>
  <c r="BD65" i="1"/>
  <c r="AP65" i="1"/>
  <c r="AX65" i="1" s="1"/>
  <c r="AO65" i="1"/>
  <c r="BH65" i="1" s="1"/>
  <c r="AD65" i="1" s="1"/>
  <c r="AK65" i="1"/>
  <c r="AJ65" i="1"/>
  <c r="AH65" i="1"/>
  <c r="AG65" i="1"/>
  <c r="AF65" i="1"/>
  <c r="AC65" i="1"/>
  <c r="AB65" i="1"/>
  <c r="Z65" i="1"/>
  <c r="J65" i="1"/>
  <c r="AL65" i="1" s="1"/>
  <c r="H65" i="1"/>
  <c r="BJ64" i="1"/>
  <c r="BF64" i="1"/>
  <c r="BD64" i="1"/>
  <c r="AP64" i="1"/>
  <c r="I64" i="1" s="1"/>
  <c r="AO64" i="1"/>
  <c r="AW64" i="1" s="1"/>
  <c r="AK64" i="1"/>
  <c r="AJ64" i="1"/>
  <c r="AH64" i="1"/>
  <c r="AG64" i="1"/>
  <c r="AF64" i="1"/>
  <c r="AC64" i="1"/>
  <c r="AB64" i="1"/>
  <c r="Z64" i="1"/>
  <c r="J64" i="1"/>
  <c r="AL64" i="1" s="1"/>
  <c r="H64" i="1"/>
  <c r="BJ63" i="1"/>
  <c r="BF63" i="1"/>
  <c r="BD63" i="1"/>
  <c r="AP63" i="1"/>
  <c r="AX63" i="1" s="1"/>
  <c r="AO63" i="1"/>
  <c r="H63" i="1" s="1"/>
  <c r="AK63" i="1"/>
  <c r="AJ63" i="1"/>
  <c r="AH63" i="1"/>
  <c r="AG63" i="1"/>
  <c r="AF63" i="1"/>
  <c r="AC63" i="1"/>
  <c r="AB63" i="1"/>
  <c r="Z63" i="1"/>
  <c r="J63" i="1"/>
  <c r="AL63" i="1" s="1"/>
  <c r="BJ62" i="1"/>
  <c r="BF62" i="1"/>
  <c r="BD62" i="1"/>
  <c r="AP62" i="1"/>
  <c r="I62" i="1" s="1"/>
  <c r="AO62" i="1"/>
  <c r="AK62" i="1"/>
  <c r="AJ62" i="1"/>
  <c r="AH62" i="1"/>
  <c r="AG62" i="1"/>
  <c r="AF62" i="1"/>
  <c r="AC62" i="1"/>
  <c r="AB62" i="1"/>
  <c r="Z62" i="1"/>
  <c r="J62" i="1"/>
  <c r="AL62" i="1" s="1"/>
  <c r="BJ60" i="1"/>
  <c r="BF60" i="1"/>
  <c r="BD60" i="1"/>
  <c r="AW60" i="1"/>
  <c r="AP60" i="1"/>
  <c r="I60" i="1" s="1"/>
  <c r="AO60" i="1"/>
  <c r="H60" i="1" s="1"/>
  <c r="AK60" i="1"/>
  <c r="AJ60" i="1"/>
  <c r="AH60" i="1"/>
  <c r="AG60" i="1"/>
  <c r="AF60" i="1"/>
  <c r="AE60" i="1"/>
  <c r="AD60" i="1"/>
  <c r="Z60" i="1"/>
  <c r="J60" i="1"/>
  <c r="AL60" i="1" s="1"/>
  <c r="BJ59" i="1"/>
  <c r="BF59" i="1"/>
  <c r="BD59" i="1"/>
  <c r="AP59" i="1"/>
  <c r="I59" i="1" s="1"/>
  <c r="AO59" i="1"/>
  <c r="AW59" i="1" s="1"/>
  <c r="AK59" i="1"/>
  <c r="AJ59" i="1"/>
  <c r="AH59" i="1"/>
  <c r="AG59" i="1"/>
  <c r="AF59" i="1"/>
  <c r="AE59" i="1"/>
  <c r="AD59" i="1"/>
  <c r="Z59" i="1"/>
  <c r="J59" i="1"/>
  <c r="AL59" i="1" s="1"/>
  <c r="BJ58" i="1"/>
  <c r="BF58" i="1"/>
  <c r="BD58" i="1"/>
  <c r="AP58" i="1"/>
  <c r="AX58" i="1" s="1"/>
  <c r="AO58" i="1"/>
  <c r="AK58" i="1"/>
  <c r="AJ58" i="1"/>
  <c r="AH58" i="1"/>
  <c r="AG58" i="1"/>
  <c r="AF58" i="1"/>
  <c r="AE58" i="1"/>
  <c r="AD58" i="1"/>
  <c r="Z58" i="1"/>
  <c r="J58" i="1"/>
  <c r="AL58" i="1" s="1"/>
  <c r="BJ57" i="1"/>
  <c r="BF57" i="1"/>
  <c r="BD57" i="1"/>
  <c r="AP57" i="1"/>
  <c r="BI57" i="1" s="1"/>
  <c r="AC57" i="1" s="1"/>
  <c r="AO57" i="1"/>
  <c r="H57" i="1" s="1"/>
  <c r="AK57" i="1"/>
  <c r="AJ57" i="1"/>
  <c r="AH57" i="1"/>
  <c r="AG57" i="1"/>
  <c r="AF57" i="1"/>
  <c r="AE57" i="1"/>
  <c r="AD57" i="1"/>
  <c r="Z57" i="1"/>
  <c r="J57" i="1"/>
  <c r="AL57" i="1" s="1"/>
  <c r="BJ56" i="1"/>
  <c r="BF56" i="1"/>
  <c r="BD56" i="1"/>
  <c r="AP56" i="1"/>
  <c r="BI56" i="1" s="1"/>
  <c r="AC56" i="1" s="1"/>
  <c r="AO56" i="1"/>
  <c r="H56" i="1" s="1"/>
  <c r="AK56" i="1"/>
  <c r="AJ56" i="1"/>
  <c r="AH56" i="1"/>
  <c r="AG56" i="1"/>
  <c r="AF56" i="1"/>
  <c r="AE56" i="1"/>
  <c r="AD56" i="1"/>
  <c r="Z56" i="1"/>
  <c r="J56" i="1"/>
  <c r="AL56" i="1" s="1"/>
  <c r="BJ55" i="1"/>
  <c r="BF55" i="1"/>
  <c r="BD55" i="1"/>
  <c r="AP55" i="1"/>
  <c r="I55" i="1" s="1"/>
  <c r="AO55" i="1"/>
  <c r="AW55" i="1" s="1"/>
  <c r="AK55" i="1"/>
  <c r="AJ55" i="1"/>
  <c r="AH55" i="1"/>
  <c r="AG55" i="1"/>
  <c r="AF55" i="1"/>
  <c r="AE55" i="1"/>
  <c r="AD55" i="1"/>
  <c r="Z55" i="1"/>
  <c r="J55" i="1"/>
  <c r="AL55" i="1" s="1"/>
  <c r="H55" i="1"/>
  <c r="BJ54" i="1"/>
  <c r="BF54" i="1"/>
  <c r="BD54" i="1"/>
  <c r="AW54" i="1"/>
  <c r="AP54" i="1"/>
  <c r="AX54" i="1" s="1"/>
  <c r="AO54" i="1"/>
  <c r="BH54" i="1" s="1"/>
  <c r="AK54" i="1"/>
  <c r="AJ54" i="1"/>
  <c r="AH54" i="1"/>
  <c r="AG54" i="1"/>
  <c r="AF54" i="1"/>
  <c r="AE54" i="1"/>
  <c r="AD54" i="1"/>
  <c r="AB54" i="1"/>
  <c r="Z54" i="1"/>
  <c r="J54" i="1"/>
  <c r="AL54" i="1" s="1"/>
  <c r="BJ52" i="1"/>
  <c r="BF52" i="1"/>
  <c r="BD52" i="1"/>
  <c r="AP52" i="1"/>
  <c r="I52" i="1" s="1"/>
  <c r="AO52" i="1"/>
  <c r="AK52" i="1"/>
  <c r="AJ52" i="1"/>
  <c r="AH52" i="1"/>
  <c r="AG52" i="1"/>
  <c r="AF52" i="1"/>
  <c r="AE52" i="1"/>
  <c r="AD52" i="1"/>
  <c r="Z52" i="1"/>
  <c r="J52" i="1"/>
  <c r="AL52" i="1" s="1"/>
  <c r="BJ51" i="1"/>
  <c r="BF51" i="1"/>
  <c r="BD51" i="1"/>
  <c r="AP51" i="1"/>
  <c r="AX51" i="1" s="1"/>
  <c r="AO51" i="1"/>
  <c r="H51" i="1" s="1"/>
  <c r="AK51" i="1"/>
  <c r="AJ51" i="1"/>
  <c r="AH51" i="1"/>
  <c r="AG51" i="1"/>
  <c r="AF51" i="1"/>
  <c r="AE51" i="1"/>
  <c r="AD51" i="1"/>
  <c r="Z51" i="1"/>
  <c r="J51" i="1"/>
  <c r="AL51" i="1" s="1"/>
  <c r="BJ50" i="1"/>
  <c r="BF50" i="1"/>
  <c r="BD50" i="1"/>
  <c r="AP50" i="1"/>
  <c r="BI50" i="1" s="1"/>
  <c r="AC50" i="1" s="1"/>
  <c r="AO50" i="1"/>
  <c r="BH50" i="1" s="1"/>
  <c r="AB50" i="1" s="1"/>
  <c r="AK50" i="1"/>
  <c r="AJ50" i="1"/>
  <c r="AH50" i="1"/>
  <c r="AG50" i="1"/>
  <c r="AF50" i="1"/>
  <c r="AE50" i="1"/>
  <c r="AD50" i="1"/>
  <c r="Z50" i="1"/>
  <c r="J50" i="1"/>
  <c r="AL50" i="1" s="1"/>
  <c r="BJ49" i="1"/>
  <c r="BF49" i="1"/>
  <c r="BD49" i="1"/>
  <c r="AP49" i="1"/>
  <c r="AX49" i="1" s="1"/>
  <c r="AO49" i="1"/>
  <c r="H49" i="1" s="1"/>
  <c r="AK49" i="1"/>
  <c r="AJ49" i="1"/>
  <c r="AH49" i="1"/>
  <c r="AG49" i="1"/>
  <c r="AF49" i="1"/>
  <c r="AE49" i="1"/>
  <c r="AD49" i="1"/>
  <c r="Z49" i="1"/>
  <c r="J49" i="1"/>
  <c r="AL49" i="1" s="1"/>
  <c r="BJ48" i="1"/>
  <c r="BF48" i="1"/>
  <c r="BD48" i="1"/>
  <c r="AP48" i="1"/>
  <c r="AO48" i="1"/>
  <c r="AW48" i="1" s="1"/>
  <c r="AK48" i="1"/>
  <c r="AJ48" i="1"/>
  <c r="AH48" i="1"/>
  <c r="AG48" i="1"/>
  <c r="AF48" i="1"/>
  <c r="AE48" i="1"/>
  <c r="AD48" i="1"/>
  <c r="Z48" i="1"/>
  <c r="J48" i="1"/>
  <c r="AL48" i="1" s="1"/>
  <c r="BJ47" i="1"/>
  <c r="BF47" i="1"/>
  <c r="BD47" i="1"/>
  <c r="AP47" i="1"/>
  <c r="AX47" i="1" s="1"/>
  <c r="AO47" i="1"/>
  <c r="BH47" i="1" s="1"/>
  <c r="AB47" i="1" s="1"/>
  <c r="AK47" i="1"/>
  <c r="AJ47" i="1"/>
  <c r="AH47" i="1"/>
  <c r="AG47" i="1"/>
  <c r="AF47" i="1"/>
  <c r="AE47" i="1"/>
  <c r="AD47" i="1"/>
  <c r="Z47" i="1"/>
  <c r="J47" i="1"/>
  <c r="AL47" i="1" s="1"/>
  <c r="BJ46" i="1"/>
  <c r="BH46" i="1"/>
  <c r="AB46" i="1" s="1"/>
  <c r="BF46" i="1"/>
  <c r="BD46" i="1"/>
  <c r="AW46" i="1"/>
  <c r="AP46" i="1"/>
  <c r="AO46" i="1"/>
  <c r="AK46" i="1"/>
  <c r="AJ46" i="1"/>
  <c r="AH46" i="1"/>
  <c r="AG46" i="1"/>
  <c r="AF46" i="1"/>
  <c r="AE46" i="1"/>
  <c r="AD46" i="1"/>
  <c r="Z46" i="1"/>
  <c r="J46" i="1"/>
  <c r="AL46" i="1" s="1"/>
  <c r="H46" i="1"/>
  <c r="BJ45" i="1"/>
  <c r="BF45" i="1"/>
  <c r="BD45" i="1"/>
  <c r="AP45" i="1"/>
  <c r="BI45" i="1" s="1"/>
  <c r="AC45" i="1" s="1"/>
  <c r="AO45" i="1"/>
  <c r="H45" i="1" s="1"/>
  <c r="AK45" i="1"/>
  <c r="AJ45" i="1"/>
  <c r="AH45" i="1"/>
  <c r="AG45" i="1"/>
  <c r="AF45" i="1"/>
  <c r="AE45" i="1"/>
  <c r="AD45" i="1"/>
  <c r="Z45" i="1"/>
  <c r="J45" i="1"/>
  <c r="BJ43" i="1"/>
  <c r="BF43" i="1"/>
  <c r="BD43" i="1"/>
  <c r="AP43" i="1"/>
  <c r="BI43" i="1" s="1"/>
  <c r="AO43" i="1"/>
  <c r="H43" i="1" s="1"/>
  <c r="H42" i="1" s="1"/>
  <c r="J17" i="2" s="1"/>
  <c r="AL43" i="1"/>
  <c r="AU42" i="1" s="1"/>
  <c r="AK43" i="1"/>
  <c r="AT42" i="1" s="1"/>
  <c r="AJ43" i="1"/>
  <c r="AS42" i="1" s="1"/>
  <c r="AH43" i="1"/>
  <c r="AG43" i="1"/>
  <c r="AF43" i="1"/>
  <c r="AE43" i="1"/>
  <c r="AD43" i="1"/>
  <c r="AC43" i="1"/>
  <c r="Z43" i="1"/>
  <c r="J43" i="1"/>
  <c r="J42" i="1"/>
  <c r="L17" i="2" s="1"/>
  <c r="N17" i="2" s="1"/>
  <c r="BJ41" i="1"/>
  <c r="BF41" i="1"/>
  <c r="BD41" i="1"/>
  <c r="AP41" i="1"/>
  <c r="AX41" i="1" s="1"/>
  <c r="AO41" i="1"/>
  <c r="BH41" i="1" s="1"/>
  <c r="AB41" i="1" s="1"/>
  <c r="AK41" i="1"/>
  <c r="AJ41" i="1"/>
  <c r="AH41" i="1"/>
  <c r="AG41" i="1"/>
  <c r="AF41" i="1"/>
  <c r="AE41" i="1"/>
  <c r="AD41" i="1"/>
  <c r="Z41" i="1"/>
  <c r="J41" i="1"/>
  <c r="AL41" i="1" s="1"/>
  <c r="BJ40" i="1"/>
  <c r="BF40" i="1"/>
  <c r="BD40" i="1"/>
  <c r="AP40" i="1"/>
  <c r="BI40" i="1" s="1"/>
  <c r="AC40" i="1" s="1"/>
  <c r="AO40" i="1"/>
  <c r="BH40" i="1" s="1"/>
  <c r="AB40" i="1" s="1"/>
  <c r="AK40" i="1"/>
  <c r="AJ40" i="1"/>
  <c r="AH40" i="1"/>
  <c r="AG40" i="1"/>
  <c r="AF40" i="1"/>
  <c r="AE40" i="1"/>
  <c r="AD40" i="1"/>
  <c r="Z40" i="1"/>
  <c r="J40" i="1"/>
  <c r="AL40" i="1" s="1"/>
  <c r="BJ39" i="1"/>
  <c r="BF39" i="1"/>
  <c r="BD39" i="1"/>
  <c r="AP39" i="1"/>
  <c r="BI39" i="1" s="1"/>
  <c r="AC39" i="1" s="1"/>
  <c r="AO39" i="1"/>
  <c r="H39" i="1" s="1"/>
  <c r="AK39" i="1"/>
  <c r="AJ39" i="1"/>
  <c r="AH39" i="1"/>
  <c r="AG39" i="1"/>
  <c r="AF39" i="1"/>
  <c r="AE39" i="1"/>
  <c r="AD39" i="1"/>
  <c r="Z39" i="1"/>
  <c r="J39" i="1"/>
  <c r="BJ37" i="1"/>
  <c r="BF37" i="1"/>
  <c r="BD37" i="1"/>
  <c r="AP37" i="1"/>
  <c r="AO37" i="1"/>
  <c r="H37" i="1" s="1"/>
  <c r="H36" i="1" s="1"/>
  <c r="J15" i="2" s="1"/>
  <c r="AK37" i="1"/>
  <c r="AT36" i="1" s="1"/>
  <c r="AJ37" i="1"/>
  <c r="AS36" i="1" s="1"/>
  <c r="AH37" i="1"/>
  <c r="AG37" i="1"/>
  <c r="AF37" i="1"/>
  <c r="AE37" i="1"/>
  <c r="AD37" i="1"/>
  <c r="Z37" i="1"/>
  <c r="J37" i="1"/>
  <c r="BJ35" i="1"/>
  <c r="BF35" i="1"/>
  <c r="BD35" i="1"/>
  <c r="AW35" i="1"/>
  <c r="AP35" i="1"/>
  <c r="AX35" i="1" s="1"/>
  <c r="AO35" i="1"/>
  <c r="BH35" i="1" s="1"/>
  <c r="AB35" i="1" s="1"/>
  <c r="AK35" i="1"/>
  <c r="AJ35" i="1"/>
  <c r="AH35" i="1"/>
  <c r="AG35" i="1"/>
  <c r="AF35" i="1"/>
  <c r="AE35" i="1"/>
  <c r="AD35" i="1"/>
  <c r="Z35" i="1"/>
  <c r="J35" i="1"/>
  <c r="AL35" i="1" s="1"/>
  <c r="I35" i="1"/>
  <c r="BJ34" i="1"/>
  <c r="BF34" i="1"/>
  <c r="BD34" i="1"/>
  <c r="AP34" i="1"/>
  <c r="BI34" i="1" s="1"/>
  <c r="AC34" i="1" s="1"/>
  <c r="AO34" i="1"/>
  <c r="BH34" i="1" s="1"/>
  <c r="AB34" i="1" s="1"/>
  <c r="AK34" i="1"/>
  <c r="AJ34" i="1"/>
  <c r="AH34" i="1"/>
  <c r="AG34" i="1"/>
  <c r="AF34" i="1"/>
  <c r="AE34" i="1"/>
  <c r="AD34" i="1"/>
  <c r="Z34" i="1"/>
  <c r="J34" i="1"/>
  <c r="AL34" i="1" s="1"/>
  <c r="BJ33" i="1"/>
  <c r="BF33" i="1"/>
  <c r="BD33" i="1"/>
  <c r="AP33" i="1"/>
  <c r="BI33" i="1" s="1"/>
  <c r="AC33" i="1" s="1"/>
  <c r="AO33" i="1"/>
  <c r="AK33" i="1"/>
  <c r="AJ33" i="1"/>
  <c r="AH33" i="1"/>
  <c r="AG33" i="1"/>
  <c r="AF33" i="1"/>
  <c r="AE33" i="1"/>
  <c r="AD33" i="1"/>
  <c r="Z33" i="1"/>
  <c r="J33" i="1"/>
  <c r="AL33" i="1" s="1"/>
  <c r="BJ32" i="1"/>
  <c r="BF32" i="1"/>
  <c r="BD32" i="1"/>
  <c r="AP32" i="1"/>
  <c r="AO32" i="1"/>
  <c r="AW32" i="1" s="1"/>
  <c r="AK32" i="1"/>
  <c r="AJ32" i="1"/>
  <c r="AH32" i="1"/>
  <c r="AG32" i="1"/>
  <c r="AF32" i="1"/>
  <c r="AE32" i="1"/>
  <c r="AD32" i="1"/>
  <c r="Z32" i="1"/>
  <c r="J32" i="1"/>
  <c r="AL32" i="1" s="1"/>
  <c r="BJ31" i="1"/>
  <c r="BF31" i="1"/>
  <c r="BD31" i="1"/>
  <c r="AP31" i="1"/>
  <c r="AO31" i="1"/>
  <c r="BH31" i="1" s="1"/>
  <c r="AB31" i="1" s="1"/>
  <c r="AK31" i="1"/>
  <c r="AJ31" i="1"/>
  <c r="AH31" i="1"/>
  <c r="AG31" i="1"/>
  <c r="AF31" i="1"/>
  <c r="AE31" i="1"/>
  <c r="AD31" i="1"/>
  <c r="Z31" i="1"/>
  <c r="J31" i="1"/>
  <c r="AL31" i="1" s="1"/>
  <c r="BJ30" i="1"/>
  <c r="BF30" i="1"/>
  <c r="BD30" i="1"/>
  <c r="AP30" i="1"/>
  <c r="BI30" i="1" s="1"/>
  <c r="AC30" i="1" s="1"/>
  <c r="AO30" i="1"/>
  <c r="H30" i="1" s="1"/>
  <c r="AK30" i="1"/>
  <c r="AJ30" i="1"/>
  <c r="AH30" i="1"/>
  <c r="AG30" i="1"/>
  <c r="AF30" i="1"/>
  <c r="AE30" i="1"/>
  <c r="AD30" i="1"/>
  <c r="Z30" i="1"/>
  <c r="J30" i="1"/>
  <c r="AL30" i="1" s="1"/>
  <c r="BJ29" i="1"/>
  <c r="BF29" i="1"/>
  <c r="BD29" i="1"/>
  <c r="AP29" i="1"/>
  <c r="AO29" i="1"/>
  <c r="H29" i="1" s="1"/>
  <c r="AK29" i="1"/>
  <c r="AJ29" i="1"/>
  <c r="AH29" i="1"/>
  <c r="AG29" i="1"/>
  <c r="AF29" i="1"/>
  <c r="AE29" i="1"/>
  <c r="AD29" i="1"/>
  <c r="Z29" i="1"/>
  <c r="J29" i="1"/>
  <c r="AL29" i="1" s="1"/>
  <c r="BJ28" i="1"/>
  <c r="BF28" i="1"/>
  <c r="BD28" i="1"/>
  <c r="AP28" i="1"/>
  <c r="I28" i="1" s="1"/>
  <c r="AO28" i="1"/>
  <c r="AW28" i="1" s="1"/>
  <c r="AK28" i="1"/>
  <c r="AJ28" i="1"/>
  <c r="AH28" i="1"/>
  <c r="AG28" i="1"/>
  <c r="AF28" i="1"/>
  <c r="AE28" i="1"/>
  <c r="AD28" i="1"/>
  <c r="Z28" i="1"/>
  <c r="J28" i="1"/>
  <c r="AL28" i="1" s="1"/>
  <c r="BJ27" i="1"/>
  <c r="BF27" i="1"/>
  <c r="BD27" i="1"/>
  <c r="AP27" i="1"/>
  <c r="AX27" i="1" s="1"/>
  <c r="AO27" i="1"/>
  <c r="BH27" i="1" s="1"/>
  <c r="AB27" i="1" s="1"/>
  <c r="AK27" i="1"/>
  <c r="AJ27" i="1"/>
  <c r="AH27" i="1"/>
  <c r="AG27" i="1"/>
  <c r="AF27" i="1"/>
  <c r="AE27" i="1"/>
  <c r="AD27" i="1"/>
  <c r="Z27" i="1"/>
  <c r="J27" i="1"/>
  <c r="AL27" i="1" s="1"/>
  <c r="BJ26" i="1"/>
  <c r="BF26" i="1"/>
  <c r="BD26" i="1"/>
  <c r="AP26" i="1"/>
  <c r="AO26" i="1"/>
  <c r="H26" i="1" s="1"/>
  <c r="AK26" i="1"/>
  <c r="AJ26" i="1"/>
  <c r="AH26" i="1"/>
  <c r="AG26" i="1"/>
  <c r="AF26" i="1"/>
  <c r="AE26" i="1"/>
  <c r="AD26" i="1"/>
  <c r="Z26" i="1"/>
  <c r="J26" i="1"/>
  <c r="AL26" i="1" s="1"/>
  <c r="BJ25" i="1"/>
  <c r="BF25" i="1"/>
  <c r="BD25" i="1"/>
  <c r="AP25" i="1"/>
  <c r="AO25" i="1"/>
  <c r="H25" i="1" s="1"/>
  <c r="AK25" i="1"/>
  <c r="AJ25" i="1"/>
  <c r="AH25" i="1"/>
  <c r="AG25" i="1"/>
  <c r="AF25" i="1"/>
  <c r="AE25" i="1"/>
  <c r="AD25" i="1"/>
  <c r="Z25" i="1"/>
  <c r="J25" i="1"/>
  <c r="AL25" i="1" s="1"/>
  <c r="BJ23" i="1"/>
  <c r="BF23" i="1"/>
  <c r="BD23" i="1"/>
  <c r="AP23" i="1"/>
  <c r="BI23" i="1" s="1"/>
  <c r="AC23" i="1" s="1"/>
  <c r="AO23" i="1"/>
  <c r="BH23" i="1" s="1"/>
  <c r="AB23" i="1" s="1"/>
  <c r="AK23" i="1"/>
  <c r="AT22" i="1" s="1"/>
  <c r="AJ23" i="1"/>
  <c r="AH23" i="1"/>
  <c r="AG23" i="1"/>
  <c r="AF23" i="1"/>
  <c r="AE23" i="1"/>
  <c r="AD23" i="1"/>
  <c r="Z23" i="1"/>
  <c r="J23" i="1"/>
  <c r="AS22" i="1"/>
  <c r="BJ21" i="1"/>
  <c r="BF21" i="1"/>
  <c r="BD21" i="1"/>
  <c r="AP21" i="1"/>
  <c r="AX21" i="1" s="1"/>
  <c r="AO21" i="1"/>
  <c r="BH21" i="1" s="1"/>
  <c r="AB21" i="1" s="1"/>
  <c r="AK21" i="1"/>
  <c r="AJ21" i="1"/>
  <c r="AH21" i="1"/>
  <c r="AG21" i="1"/>
  <c r="AF21" i="1"/>
  <c r="AE21" i="1"/>
  <c r="AD21" i="1"/>
  <c r="Z21" i="1"/>
  <c r="J21" i="1"/>
  <c r="AL21" i="1" s="1"/>
  <c r="BJ20" i="1"/>
  <c r="BF20" i="1"/>
  <c r="BD20" i="1"/>
  <c r="AP20" i="1"/>
  <c r="BI20" i="1" s="1"/>
  <c r="AC20" i="1" s="1"/>
  <c r="AO20" i="1"/>
  <c r="AK20" i="1"/>
  <c r="AJ20" i="1"/>
  <c r="AH20" i="1"/>
  <c r="AG20" i="1"/>
  <c r="AF20" i="1"/>
  <c r="AE20" i="1"/>
  <c r="AD20" i="1"/>
  <c r="Z20" i="1"/>
  <c r="J20" i="1"/>
  <c r="AL20" i="1" s="1"/>
  <c r="BJ19" i="1"/>
  <c r="BF19" i="1"/>
  <c r="BD19" i="1"/>
  <c r="AP19" i="1"/>
  <c r="BI19" i="1" s="1"/>
  <c r="AC19" i="1" s="1"/>
  <c r="AO19" i="1"/>
  <c r="AK19" i="1"/>
  <c r="AJ19" i="1"/>
  <c r="AH19" i="1"/>
  <c r="AG19" i="1"/>
  <c r="AF19" i="1"/>
  <c r="AE19" i="1"/>
  <c r="AD19" i="1"/>
  <c r="Z19" i="1"/>
  <c r="J19" i="1"/>
  <c r="AL19" i="1" s="1"/>
  <c r="BJ18" i="1"/>
  <c r="BF18" i="1"/>
  <c r="BD18" i="1"/>
  <c r="AP18" i="1"/>
  <c r="BI18" i="1" s="1"/>
  <c r="AC18" i="1" s="1"/>
  <c r="AO18" i="1"/>
  <c r="AW18" i="1" s="1"/>
  <c r="AK18" i="1"/>
  <c r="AJ18" i="1"/>
  <c r="AH18" i="1"/>
  <c r="AG18" i="1"/>
  <c r="AF18" i="1"/>
  <c r="AE18" i="1"/>
  <c r="AD18" i="1"/>
  <c r="Z18" i="1"/>
  <c r="J18" i="1"/>
  <c r="AL18" i="1" s="1"/>
  <c r="BJ17" i="1"/>
  <c r="BF17" i="1"/>
  <c r="BD17" i="1"/>
  <c r="AP17" i="1"/>
  <c r="I17" i="1" s="1"/>
  <c r="AO17" i="1"/>
  <c r="AW17" i="1" s="1"/>
  <c r="AK17" i="1"/>
  <c r="AJ17" i="1"/>
  <c r="AH17" i="1"/>
  <c r="AG17" i="1"/>
  <c r="AF17" i="1"/>
  <c r="AE17" i="1"/>
  <c r="AD17" i="1"/>
  <c r="Z17" i="1"/>
  <c r="J17" i="1"/>
  <c r="AL17" i="1" s="1"/>
  <c r="BJ16" i="1"/>
  <c r="BF16" i="1"/>
  <c r="BD16" i="1"/>
  <c r="AP16" i="1"/>
  <c r="AX16" i="1" s="1"/>
  <c r="AO16" i="1"/>
  <c r="BH16" i="1" s="1"/>
  <c r="AB16" i="1" s="1"/>
  <c r="AK16" i="1"/>
  <c r="AJ16" i="1"/>
  <c r="AH16" i="1"/>
  <c r="AG16" i="1"/>
  <c r="AF16" i="1"/>
  <c r="AE16" i="1"/>
  <c r="AD16" i="1"/>
  <c r="Z16" i="1"/>
  <c r="J16" i="1"/>
  <c r="AL16" i="1" s="1"/>
  <c r="AU4" i="1"/>
  <c r="AT4" i="1"/>
  <c r="AS4" i="1"/>
  <c r="I381" i="1" l="1"/>
  <c r="AX381" i="1"/>
  <c r="I350" i="1"/>
  <c r="AX350" i="1"/>
  <c r="AW357" i="1"/>
  <c r="AV362" i="1"/>
  <c r="I363" i="1"/>
  <c r="BI363" i="1"/>
  <c r="AC363" i="1" s="1"/>
  <c r="H365" i="1"/>
  <c r="AW365" i="1"/>
  <c r="I382" i="1"/>
  <c r="AW400" i="1"/>
  <c r="I408" i="1"/>
  <c r="AW409" i="1"/>
  <c r="I427" i="1"/>
  <c r="AX427" i="1"/>
  <c r="H428" i="1"/>
  <c r="AW428" i="1"/>
  <c r="AX434" i="1"/>
  <c r="I446" i="1"/>
  <c r="AW450" i="1"/>
  <c r="H451" i="1"/>
  <c r="I459" i="1"/>
  <c r="AW459" i="1"/>
  <c r="AW460" i="1"/>
  <c r="I468" i="1"/>
  <c r="AS470" i="1"/>
  <c r="AS249" i="1"/>
  <c r="I19" i="1"/>
  <c r="BH29" i="1"/>
  <c r="AB29" i="1" s="1"/>
  <c r="AX30" i="1"/>
  <c r="H31" i="1"/>
  <c r="AW31" i="1"/>
  <c r="BH37" i="1"/>
  <c r="AB37" i="1" s="1"/>
  <c r="I40" i="1"/>
  <c r="AX40" i="1"/>
  <c r="I41" i="1"/>
  <c r="I65" i="1"/>
  <c r="AT68" i="1"/>
  <c r="AX71" i="1"/>
  <c r="H75" i="1"/>
  <c r="H80" i="1"/>
  <c r="AV95" i="1"/>
  <c r="H102" i="1"/>
  <c r="AW105" i="1"/>
  <c r="I117" i="1"/>
  <c r="I140" i="1"/>
  <c r="AW140" i="1"/>
  <c r="BC140" i="1" s="1"/>
  <c r="AX143" i="1"/>
  <c r="AW190" i="1"/>
  <c r="AW193" i="1"/>
  <c r="I200" i="1"/>
  <c r="AW205" i="1"/>
  <c r="BI213" i="1"/>
  <c r="AC213" i="1" s="1"/>
  <c r="I215" i="1"/>
  <c r="AX215" i="1"/>
  <c r="I218" i="1"/>
  <c r="AX218" i="1"/>
  <c r="I259" i="1"/>
  <c r="AW282" i="1"/>
  <c r="AW286" i="1"/>
  <c r="BH287" i="1"/>
  <c r="AB287" i="1" s="1"/>
  <c r="H300" i="1"/>
  <c r="AW345" i="1"/>
  <c r="H416" i="1"/>
  <c r="H447" i="1"/>
  <c r="I453" i="1"/>
  <c r="AX459" i="1"/>
  <c r="J470" i="1"/>
  <c r="L56" i="2" s="1"/>
  <c r="N56" i="2" s="1"/>
  <c r="BC71" i="1"/>
  <c r="BC143" i="1"/>
  <c r="BH265" i="1"/>
  <c r="AB265" i="1" s="1"/>
  <c r="I18" i="1"/>
  <c r="AW29" i="1"/>
  <c r="AW37" i="1"/>
  <c r="AX43" i="1"/>
  <c r="BI49" i="1"/>
  <c r="AC49" i="1" s="1"/>
  <c r="H54" i="1"/>
  <c r="I56" i="1"/>
  <c r="BI59" i="1"/>
  <c r="AC59" i="1" s="1"/>
  <c r="BH60" i="1"/>
  <c r="AB60" i="1" s="1"/>
  <c r="BH70" i="1"/>
  <c r="AD70" i="1" s="1"/>
  <c r="I75" i="1"/>
  <c r="I80" i="1"/>
  <c r="BI80" i="1"/>
  <c r="AE80" i="1" s="1"/>
  <c r="AV81" i="1"/>
  <c r="I82" i="1"/>
  <c r="AX83" i="1"/>
  <c r="H91" i="1"/>
  <c r="H101" i="1"/>
  <c r="AW102" i="1"/>
  <c r="AX105" i="1"/>
  <c r="BH116" i="1"/>
  <c r="AD116" i="1" s="1"/>
  <c r="I143" i="1"/>
  <c r="AW153" i="1"/>
  <c r="AW161" i="1"/>
  <c r="AX163" i="1"/>
  <c r="BH177" i="1"/>
  <c r="AB177" i="1" s="1"/>
  <c r="I186" i="1"/>
  <c r="AX186" i="1"/>
  <c r="BH210" i="1"/>
  <c r="AB210" i="1" s="1"/>
  <c r="AX213" i="1"/>
  <c r="AV213" i="1" s="1"/>
  <c r="AX225" i="1"/>
  <c r="I255" i="1"/>
  <c r="H266" i="1"/>
  <c r="H287" i="1"/>
  <c r="BI289" i="1"/>
  <c r="AC289" i="1" s="1"/>
  <c r="AW302" i="1"/>
  <c r="AX305" i="1"/>
  <c r="I310" i="1"/>
  <c r="I320" i="1"/>
  <c r="I322" i="1"/>
  <c r="H342" i="1"/>
  <c r="H386" i="1"/>
  <c r="I434" i="1"/>
  <c r="AX468" i="1"/>
  <c r="BH192" i="1"/>
  <c r="AF192" i="1" s="1"/>
  <c r="I30" i="1"/>
  <c r="AS53" i="1"/>
  <c r="AW80" i="1"/>
  <c r="BI103" i="1"/>
  <c r="AE103" i="1" s="1"/>
  <c r="BH112" i="1"/>
  <c r="AD112" i="1" s="1"/>
  <c r="AV200" i="1"/>
  <c r="AS189" i="1"/>
  <c r="I282" i="1"/>
  <c r="BI282" i="1"/>
  <c r="AC282" i="1" s="1"/>
  <c r="AX282" i="1"/>
  <c r="AW376" i="1"/>
  <c r="H376" i="1"/>
  <c r="BH392" i="1"/>
  <c r="AB392" i="1" s="1"/>
  <c r="AW392" i="1"/>
  <c r="H392" i="1"/>
  <c r="BI438" i="1"/>
  <c r="AC438" i="1" s="1"/>
  <c r="I438" i="1"/>
  <c r="AX438" i="1"/>
  <c r="I466" i="1"/>
  <c r="BI466" i="1"/>
  <c r="AC466" i="1" s="1"/>
  <c r="AX466" i="1"/>
  <c r="H21" i="1"/>
  <c r="BH26" i="1"/>
  <c r="AB26" i="1" s="1"/>
  <c r="J38" i="1"/>
  <c r="L16" i="2" s="1"/>
  <c r="N16" i="2" s="1"/>
  <c r="AS44" i="1"/>
  <c r="AT44" i="1"/>
  <c r="BI47" i="1"/>
  <c r="AC47" i="1" s="1"/>
  <c r="AX57" i="1"/>
  <c r="AV57" i="1" s="1"/>
  <c r="AX60" i="1"/>
  <c r="AV60" i="1" s="1"/>
  <c r="BI60" i="1"/>
  <c r="AC60" i="1" s="1"/>
  <c r="BH64" i="1"/>
  <c r="AD64" i="1" s="1"/>
  <c r="AX75" i="1"/>
  <c r="I78" i="1"/>
  <c r="AW91" i="1"/>
  <c r="BI91" i="1"/>
  <c r="AE91" i="1" s="1"/>
  <c r="H95" i="1"/>
  <c r="H106" i="1"/>
  <c r="AW112" i="1"/>
  <c r="AX116" i="1"/>
  <c r="AX117" i="1"/>
  <c r="AV117" i="1" s="1"/>
  <c r="AT133" i="1"/>
  <c r="BH149" i="1"/>
  <c r="AB149" i="1" s="1"/>
  <c r="BH156" i="1"/>
  <c r="AB156" i="1" s="1"/>
  <c r="H169" i="1"/>
  <c r="AV169" i="1"/>
  <c r="AW177" i="1"/>
  <c r="AX192" i="1"/>
  <c r="BI192" i="1"/>
  <c r="AG192" i="1" s="1"/>
  <c r="AX193" i="1"/>
  <c r="AW209" i="1"/>
  <c r="AX222" i="1"/>
  <c r="AV222" i="1" s="1"/>
  <c r="BI222" i="1"/>
  <c r="AC222" i="1" s="1"/>
  <c r="AX242" i="1"/>
  <c r="BI242" i="1"/>
  <c r="AC242" i="1" s="1"/>
  <c r="BI283" i="1"/>
  <c r="AC283" i="1" s="1"/>
  <c r="AX283" i="1"/>
  <c r="AW293" i="1"/>
  <c r="H293" i="1"/>
  <c r="H295" i="1"/>
  <c r="AW295" i="1"/>
  <c r="BH295" i="1"/>
  <c r="AB295" i="1" s="1"/>
  <c r="AX316" i="1"/>
  <c r="BI316" i="1"/>
  <c r="AC316" i="1" s="1"/>
  <c r="I316" i="1"/>
  <c r="AX326" i="1"/>
  <c r="BI326" i="1"/>
  <c r="AC326" i="1" s="1"/>
  <c r="I326" i="1"/>
  <c r="J367" i="1"/>
  <c r="L49" i="2" s="1"/>
  <c r="N49" i="2" s="1"/>
  <c r="AL368" i="1"/>
  <c r="AU367" i="1" s="1"/>
  <c r="H403" i="1"/>
  <c r="BH403" i="1"/>
  <c r="AB403" i="1" s="1"/>
  <c r="AW403" i="1"/>
  <c r="I431" i="1"/>
  <c r="BH464" i="1"/>
  <c r="AB464" i="1" s="1"/>
  <c r="AW464" i="1"/>
  <c r="BH48" i="1"/>
  <c r="AB48" i="1" s="1"/>
  <c r="I348" i="1"/>
  <c r="AX348" i="1"/>
  <c r="AV348" i="1" s="1"/>
  <c r="BI400" i="1"/>
  <c r="AC400" i="1" s="1"/>
  <c r="AX400" i="1"/>
  <c r="AW21" i="1"/>
  <c r="AV21" i="1" s="1"/>
  <c r="BH25" i="1"/>
  <c r="AB25" i="1" s="1"/>
  <c r="I20" i="1"/>
  <c r="AW26" i="1"/>
  <c r="AW27" i="1"/>
  <c r="BH32" i="1"/>
  <c r="AB32" i="1" s="1"/>
  <c r="BI41" i="1"/>
  <c r="AC41" i="1" s="1"/>
  <c r="I43" i="1"/>
  <c r="I42" i="1" s="1"/>
  <c r="K17" i="2" s="1"/>
  <c r="BH45" i="1"/>
  <c r="AB45" i="1" s="1"/>
  <c r="H47" i="1"/>
  <c r="AW47" i="1"/>
  <c r="I49" i="1"/>
  <c r="I50" i="1"/>
  <c r="AX50" i="1"/>
  <c r="BI63" i="1"/>
  <c r="AE63" i="1" s="1"/>
  <c r="H72" i="1"/>
  <c r="I89" i="1"/>
  <c r="I106" i="1"/>
  <c r="AW106" i="1"/>
  <c r="H107" i="1"/>
  <c r="H113" i="1"/>
  <c r="I116" i="1"/>
  <c r="AX121" i="1"/>
  <c r="AV121" i="1" s="1"/>
  <c r="AX123" i="1"/>
  <c r="H140" i="1"/>
  <c r="AW149" i="1"/>
  <c r="H153" i="1"/>
  <c r="AW156" i="1"/>
  <c r="H161" i="1"/>
  <c r="AV161" i="1"/>
  <c r="H178" i="1"/>
  <c r="AX180" i="1"/>
  <c r="BI198" i="1"/>
  <c r="AG198" i="1" s="1"/>
  <c r="AX204" i="1"/>
  <c r="H205" i="1"/>
  <c r="AX208" i="1"/>
  <c r="BH213" i="1"/>
  <c r="AB213" i="1" s="1"/>
  <c r="AX224" i="1"/>
  <c r="BI224" i="1"/>
  <c r="AC224" i="1" s="1"/>
  <c r="I224" i="1"/>
  <c r="H226" i="1"/>
  <c r="AW226" i="1"/>
  <c r="BH226" i="1"/>
  <c r="AB226" i="1" s="1"/>
  <c r="I283" i="1"/>
  <c r="I285" i="1"/>
  <c r="AX285" i="1"/>
  <c r="AW289" i="1"/>
  <c r="AV289" i="1" s="1"/>
  <c r="BH289" i="1"/>
  <c r="AB289" i="1" s="1"/>
  <c r="BI310" i="1"/>
  <c r="AC310" i="1" s="1"/>
  <c r="AW325" i="1"/>
  <c r="H325" i="1"/>
  <c r="BI353" i="1"/>
  <c r="AC353" i="1" s="1"/>
  <c r="AX353" i="1"/>
  <c r="I357" i="1"/>
  <c r="BI357" i="1"/>
  <c r="AC357" i="1" s="1"/>
  <c r="AX357" i="1"/>
  <c r="BH375" i="1"/>
  <c r="AB375" i="1" s="1"/>
  <c r="AW375" i="1"/>
  <c r="H375" i="1"/>
  <c r="BH382" i="1"/>
  <c r="AB382" i="1" s="1"/>
  <c r="AW382" i="1"/>
  <c r="BI415" i="1"/>
  <c r="AC415" i="1" s="1"/>
  <c r="AX415" i="1"/>
  <c r="I415" i="1"/>
  <c r="H430" i="1"/>
  <c r="AW430" i="1"/>
  <c r="BC430" i="1" s="1"/>
  <c r="AU53" i="1"/>
  <c r="BH88" i="1"/>
  <c r="AD88" i="1" s="1"/>
  <c r="BH107" i="1"/>
  <c r="AD107" i="1" s="1"/>
  <c r="BC222" i="1"/>
  <c r="AX230" i="1"/>
  <c r="BI230" i="1"/>
  <c r="I230" i="1"/>
  <c r="BH324" i="1"/>
  <c r="AB324" i="1" s="1"/>
  <c r="AW324" i="1"/>
  <c r="H324" i="1"/>
  <c r="H327" i="1"/>
  <c r="BH327" i="1"/>
  <c r="AB327" i="1" s="1"/>
  <c r="AW327" i="1"/>
  <c r="BI388" i="1"/>
  <c r="AC388" i="1" s="1"/>
  <c r="I388" i="1"/>
  <c r="BI28" i="1"/>
  <c r="AC28" i="1" s="1"/>
  <c r="AW30" i="1"/>
  <c r="AV30" i="1" s="1"/>
  <c r="BH30" i="1"/>
  <c r="AB30" i="1" s="1"/>
  <c r="AS38" i="1"/>
  <c r="H41" i="1"/>
  <c r="AW41" i="1"/>
  <c r="AW45" i="1"/>
  <c r="I47" i="1"/>
  <c r="AV54" i="1"/>
  <c r="I57" i="1"/>
  <c r="AV71" i="1"/>
  <c r="AW72" i="1"/>
  <c r="BI78" i="1"/>
  <c r="AE78" i="1" s="1"/>
  <c r="AW82" i="1"/>
  <c r="AV82" i="1" s="1"/>
  <c r="BH82" i="1"/>
  <c r="H87" i="1"/>
  <c r="AS84" i="1"/>
  <c r="AW87" i="1"/>
  <c r="BC87" i="1" s="1"/>
  <c r="BH95" i="1"/>
  <c r="AD95" i="1" s="1"/>
  <c r="I100" i="1"/>
  <c r="J137" i="1"/>
  <c r="L28" i="2" s="1"/>
  <c r="N28" i="2" s="1"/>
  <c r="AV143" i="1"/>
  <c r="BI144" i="1"/>
  <c r="AC144" i="1" s="1"/>
  <c r="AS159" i="1"/>
  <c r="J164" i="1"/>
  <c r="L33" i="2" s="1"/>
  <c r="N33" i="2" s="1"/>
  <c r="H198" i="1"/>
  <c r="AW198" i="1"/>
  <c r="BH284" i="1"/>
  <c r="AB284" i="1" s="1"/>
  <c r="AW284" i="1"/>
  <c r="AV284" i="1" s="1"/>
  <c r="H284" i="1"/>
  <c r="BH292" i="1"/>
  <c r="AB292" i="1" s="1"/>
  <c r="AW292" i="1"/>
  <c r="BH296" i="1"/>
  <c r="AB296" i="1" s="1"/>
  <c r="AW296" i="1"/>
  <c r="BC320" i="1"/>
  <c r="AV320" i="1"/>
  <c r="BH331" i="1"/>
  <c r="AB331" i="1" s="1"/>
  <c r="AW331" i="1"/>
  <c r="I344" i="1"/>
  <c r="AX344" i="1"/>
  <c r="BI348" i="1"/>
  <c r="AC348" i="1" s="1"/>
  <c r="BI360" i="1"/>
  <c r="AC360" i="1" s="1"/>
  <c r="AX360" i="1"/>
  <c r="I360" i="1"/>
  <c r="BH408" i="1"/>
  <c r="AB408" i="1" s="1"/>
  <c r="AW408" i="1"/>
  <c r="H464" i="1"/>
  <c r="I288" i="1"/>
  <c r="AX346" i="1"/>
  <c r="AV346" i="1" s="1"/>
  <c r="BI358" i="1"/>
  <c r="AC358" i="1" s="1"/>
  <c r="BI371" i="1"/>
  <c r="AC371" i="1" s="1"/>
  <c r="BI394" i="1"/>
  <c r="AC394" i="1" s="1"/>
  <c r="AW416" i="1"/>
  <c r="BI250" i="1"/>
  <c r="AC250" i="1" s="1"/>
  <c r="BH321" i="1"/>
  <c r="AB321" i="1" s="1"/>
  <c r="AT328" i="1"/>
  <c r="BH364" i="1"/>
  <c r="AB364" i="1" s="1"/>
  <c r="BI382" i="1"/>
  <c r="AC382" i="1" s="1"/>
  <c r="AX394" i="1"/>
  <c r="AX452" i="1"/>
  <c r="I233" i="1"/>
  <c r="AX233" i="1"/>
  <c r="AX240" i="1"/>
  <c r="AX246" i="1"/>
  <c r="AW265" i="1"/>
  <c r="H269" i="1"/>
  <c r="AW269" i="1"/>
  <c r="AW288" i="1"/>
  <c r="BC288" i="1" s="1"/>
  <c r="I300" i="1"/>
  <c r="AW300" i="1"/>
  <c r="AW303" i="1"/>
  <c r="BC303" i="1" s="1"/>
  <c r="BI305" i="1"/>
  <c r="AC305" i="1" s="1"/>
  <c r="I307" i="1"/>
  <c r="AX307" i="1"/>
  <c r="AX311" i="1"/>
  <c r="BI320" i="1"/>
  <c r="AC320" i="1" s="1"/>
  <c r="AX327" i="1"/>
  <c r="BH332" i="1"/>
  <c r="AB332" i="1" s="1"/>
  <c r="AW335" i="1"/>
  <c r="H336" i="1"/>
  <c r="H362" i="1"/>
  <c r="AW364" i="1"/>
  <c r="AX378" i="1"/>
  <c r="AW390" i="1"/>
  <c r="AX403" i="1"/>
  <c r="AX408" i="1"/>
  <c r="AW423" i="1"/>
  <c r="AW445" i="1"/>
  <c r="AW446" i="1"/>
  <c r="AW449" i="1"/>
  <c r="H450" i="1"/>
  <c r="BH459" i="1"/>
  <c r="AB459" i="1" s="1"/>
  <c r="BC30" i="1"/>
  <c r="BC35" i="1"/>
  <c r="AV35" i="1"/>
  <c r="I48" i="1"/>
  <c r="BI48" i="1"/>
  <c r="AC48" i="1" s="1"/>
  <c r="AX48" i="1"/>
  <c r="AV48" i="1" s="1"/>
  <c r="AX31" i="1"/>
  <c r="BC31" i="1" s="1"/>
  <c r="I31" i="1"/>
  <c r="BI31" i="1"/>
  <c r="AC31" i="1" s="1"/>
  <c r="I32" i="1"/>
  <c r="BI32" i="1"/>
  <c r="AC32" i="1" s="1"/>
  <c r="AX32" i="1"/>
  <c r="AT38" i="1"/>
  <c r="AW52" i="1"/>
  <c r="H52" i="1"/>
  <c r="BH52" i="1"/>
  <c r="AB52" i="1" s="1"/>
  <c r="AW62" i="1"/>
  <c r="BH62" i="1"/>
  <c r="AD62" i="1" s="1"/>
  <c r="H20" i="1"/>
  <c r="AW20" i="1"/>
  <c r="BH20" i="1"/>
  <c r="AB20" i="1" s="1"/>
  <c r="BI29" i="1"/>
  <c r="AC29" i="1" s="1"/>
  <c r="AX29" i="1"/>
  <c r="AV29" i="1" s="1"/>
  <c r="AL37" i="1"/>
  <c r="AU36" i="1" s="1"/>
  <c r="J36" i="1"/>
  <c r="L15" i="2" s="1"/>
  <c r="N15" i="2" s="1"/>
  <c r="I29" i="1"/>
  <c r="AL23" i="1"/>
  <c r="AU22" i="1" s="1"/>
  <c r="J22" i="1"/>
  <c r="L13" i="2" s="1"/>
  <c r="N13" i="2" s="1"/>
  <c r="I25" i="1"/>
  <c r="BI25" i="1"/>
  <c r="AC25" i="1" s="1"/>
  <c r="AX25" i="1"/>
  <c r="AV27" i="1"/>
  <c r="BC27" i="1"/>
  <c r="BI37" i="1"/>
  <c r="AC37" i="1" s="1"/>
  <c r="I37" i="1"/>
  <c r="I36" i="1" s="1"/>
  <c r="K15" i="2" s="1"/>
  <c r="AX37" i="1"/>
  <c r="BC37" i="1" s="1"/>
  <c r="BI64" i="1"/>
  <c r="AE64" i="1" s="1"/>
  <c r="AX64" i="1"/>
  <c r="AV64" i="1" s="1"/>
  <c r="H19" i="1"/>
  <c r="BH19" i="1"/>
  <c r="AB19" i="1" s="1"/>
  <c r="BC21" i="1"/>
  <c r="BI26" i="1"/>
  <c r="AC26" i="1" s="1"/>
  <c r="I26" i="1"/>
  <c r="AX26" i="1"/>
  <c r="H33" i="1"/>
  <c r="AW33" i="1"/>
  <c r="BI46" i="1"/>
  <c r="AC46" i="1" s="1"/>
  <c r="AX46" i="1"/>
  <c r="AV46" i="1" s="1"/>
  <c r="I46" i="1"/>
  <c r="BH51" i="1"/>
  <c r="AB51" i="1" s="1"/>
  <c r="AW51" i="1"/>
  <c r="BC51" i="1" s="1"/>
  <c r="BH58" i="1"/>
  <c r="AB58" i="1" s="1"/>
  <c r="AW58" i="1"/>
  <c r="BC58" i="1" s="1"/>
  <c r="H58" i="1"/>
  <c r="BH216" i="1"/>
  <c r="AB216" i="1" s="1"/>
  <c r="AW216" i="1"/>
  <c r="I228" i="1"/>
  <c r="BI89" i="1"/>
  <c r="AE89" i="1" s="1"/>
  <c r="AX94" i="1"/>
  <c r="BI94" i="1"/>
  <c r="AE94" i="1" s="1"/>
  <c r="BI101" i="1"/>
  <c r="AE101" i="1" s="1"/>
  <c r="AX101" i="1"/>
  <c r="I165" i="1"/>
  <c r="BI165" i="1"/>
  <c r="BI174" i="1"/>
  <c r="AC174" i="1" s="1"/>
  <c r="AX174" i="1"/>
  <c r="I174" i="1"/>
  <c r="BI207" i="1"/>
  <c r="AC207" i="1" s="1"/>
  <c r="AX207" i="1"/>
  <c r="BH248" i="1"/>
  <c r="AW248" i="1"/>
  <c r="AV248" i="1" s="1"/>
  <c r="H248" i="1"/>
  <c r="BH252" i="1"/>
  <c r="AB252" i="1" s="1"/>
  <c r="AW252" i="1"/>
  <c r="H252" i="1"/>
  <c r="AL258" i="1"/>
  <c r="AU257" i="1" s="1"/>
  <c r="J257" i="1"/>
  <c r="L44" i="2" s="1"/>
  <c r="N44" i="2" s="1"/>
  <c r="AV259" i="1"/>
  <c r="BC259" i="1"/>
  <c r="I271" i="1"/>
  <c r="AX271" i="1"/>
  <c r="AX278" i="1"/>
  <c r="BI278" i="1"/>
  <c r="AC278" i="1" s="1"/>
  <c r="AV303" i="1"/>
  <c r="AW305" i="1"/>
  <c r="BH305" i="1"/>
  <c r="AB305" i="1" s="1"/>
  <c r="H311" i="1"/>
  <c r="BH311" i="1"/>
  <c r="AB311" i="1" s="1"/>
  <c r="AW311" i="1"/>
  <c r="BH319" i="1"/>
  <c r="AB319" i="1" s="1"/>
  <c r="AW319" i="1"/>
  <c r="H319" i="1"/>
  <c r="I321" i="1"/>
  <c r="BI321" i="1"/>
  <c r="AC321" i="1" s="1"/>
  <c r="AX321" i="1"/>
  <c r="AV321" i="1" s="1"/>
  <c r="BI334" i="1"/>
  <c r="AC334" i="1" s="1"/>
  <c r="AX334" i="1"/>
  <c r="I334" i="1"/>
  <c r="BH361" i="1"/>
  <c r="AB361" i="1" s="1"/>
  <c r="AW361" i="1"/>
  <c r="H361" i="1"/>
  <c r="BH368" i="1"/>
  <c r="AF368" i="1" s="1"/>
  <c r="AW368" i="1"/>
  <c r="H368" i="1"/>
  <c r="H367" i="1" s="1"/>
  <c r="J49" i="2" s="1"/>
  <c r="I383" i="1"/>
  <c r="BI383" i="1"/>
  <c r="AC383" i="1" s="1"/>
  <c r="AX383" i="1"/>
  <c r="BC26" i="1"/>
  <c r="BC54" i="1"/>
  <c r="BI66" i="1"/>
  <c r="AE66" i="1" s="1"/>
  <c r="I107" i="1"/>
  <c r="BI107" i="1"/>
  <c r="AE107" i="1" s="1"/>
  <c r="AX107" i="1"/>
  <c r="AV107" i="1" s="1"/>
  <c r="I122" i="1"/>
  <c r="BC122" i="1"/>
  <c r="AL140" i="1"/>
  <c r="J139" i="1"/>
  <c r="L29" i="2" s="1"/>
  <c r="N29" i="2" s="1"/>
  <c r="I145" i="1"/>
  <c r="AX145" i="1"/>
  <c r="BI160" i="1"/>
  <c r="AX160" i="1"/>
  <c r="BH175" i="1"/>
  <c r="AB175" i="1" s="1"/>
  <c r="AW175" i="1"/>
  <c r="BC175" i="1" s="1"/>
  <c r="AT189" i="1"/>
  <c r="BH195" i="1"/>
  <c r="AF195" i="1" s="1"/>
  <c r="BI199" i="1"/>
  <c r="AG199" i="1" s="1"/>
  <c r="C27" i="3"/>
  <c r="BH18" i="1"/>
  <c r="AB18" i="1" s="1"/>
  <c r="H34" i="1"/>
  <c r="J44" i="1"/>
  <c r="L18" i="2" s="1"/>
  <c r="N18" i="2" s="1"/>
  <c r="BH56" i="1"/>
  <c r="AB56" i="1" s="1"/>
  <c r="AX62" i="1"/>
  <c r="BI62" i="1"/>
  <c r="AE62" i="1" s="1"/>
  <c r="BC64" i="1"/>
  <c r="AW65" i="1"/>
  <c r="BC65" i="1" s="1"/>
  <c r="AX66" i="1"/>
  <c r="AV66" i="1" s="1"/>
  <c r="AU68" i="1"/>
  <c r="AW76" i="1"/>
  <c r="BC76" i="1" s="1"/>
  <c r="BH77" i="1"/>
  <c r="AD77" i="1" s="1"/>
  <c r="I79" i="1"/>
  <c r="AX79" i="1"/>
  <c r="BH83" i="1"/>
  <c r="H83" i="1"/>
  <c r="H86" i="1"/>
  <c r="BI86" i="1"/>
  <c r="AE86" i="1" s="1"/>
  <c r="AX86" i="1"/>
  <c r="BC86" i="1" s="1"/>
  <c r="BH86" i="1"/>
  <c r="AD86" i="1" s="1"/>
  <c r="AT84" i="1"/>
  <c r="AX88" i="1"/>
  <c r="AV88" i="1" s="1"/>
  <c r="BI88" i="1"/>
  <c r="AE88" i="1" s="1"/>
  <c r="I97" i="1"/>
  <c r="AX97" i="1"/>
  <c r="AW111" i="1"/>
  <c r="AV111" i="1" s="1"/>
  <c r="BH111" i="1"/>
  <c r="AD111" i="1" s="1"/>
  <c r="H111" i="1"/>
  <c r="BI112" i="1"/>
  <c r="AE112" i="1" s="1"/>
  <c r="AX112" i="1"/>
  <c r="BH114" i="1"/>
  <c r="AD114" i="1" s="1"/>
  <c r="AW114" i="1"/>
  <c r="H114" i="1"/>
  <c r="BH131" i="1"/>
  <c r="AD131" i="1" s="1"/>
  <c r="AW131" i="1"/>
  <c r="H136" i="1"/>
  <c r="AW136" i="1"/>
  <c r="BH136" i="1"/>
  <c r="AD136" i="1" s="1"/>
  <c r="J146" i="1"/>
  <c r="L30" i="2" s="1"/>
  <c r="N30" i="2" s="1"/>
  <c r="AX147" i="1"/>
  <c r="I147" i="1"/>
  <c r="I146" i="1" s="1"/>
  <c r="K30" i="2" s="1"/>
  <c r="BI147" i="1"/>
  <c r="AC147" i="1" s="1"/>
  <c r="J148" i="1"/>
  <c r="L31" i="2" s="1"/>
  <c r="N31" i="2" s="1"/>
  <c r="BI149" i="1"/>
  <c r="AC149" i="1" s="1"/>
  <c r="AX149" i="1"/>
  <c r="AT148" i="1"/>
  <c r="H152" i="1"/>
  <c r="BH152" i="1"/>
  <c r="AB152" i="1" s="1"/>
  <c r="AW152" i="1"/>
  <c r="AV152" i="1" s="1"/>
  <c r="I154" i="1"/>
  <c r="AW155" i="1"/>
  <c r="H155" i="1"/>
  <c r="BH155" i="1"/>
  <c r="AB155" i="1" s="1"/>
  <c r="BH168" i="1"/>
  <c r="AW168" i="1"/>
  <c r="H168" i="1"/>
  <c r="BH172" i="1"/>
  <c r="AW172" i="1"/>
  <c r="H172" i="1"/>
  <c r="BH179" i="1"/>
  <c r="AB179" i="1" s="1"/>
  <c r="AW179" i="1"/>
  <c r="AV179" i="1" s="1"/>
  <c r="BH183" i="1"/>
  <c r="AB183" i="1" s="1"/>
  <c r="H183" i="1"/>
  <c r="AW183" i="1"/>
  <c r="BC183" i="1" s="1"/>
  <c r="I195" i="1"/>
  <c r="BI195" i="1"/>
  <c r="AG195" i="1" s="1"/>
  <c r="AX195" i="1"/>
  <c r="BC195" i="1" s="1"/>
  <c r="BI219" i="1"/>
  <c r="AC219" i="1" s="1"/>
  <c r="AX219" i="1"/>
  <c r="AW221" i="1"/>
  <c r="H221" i="1"/>
  <c r="BI223" i="1"/>
  <c r="AC223" i="1" s="1"/>
  <c r="AX223" i="1"/>
  <c r="BH229" i="1"/>
  <c r="AB229" i="1" s="1"/>
  <c r="BI234" i="1"/>
  <c r="AC234" i="1" s="1"/>
  <c r="AX234" i="1"/>
  <c r="AW236" i="1"/>
  <c r="H236" i="1"/>
  <c r="BH242" i="1"/>
  <c r="AB242" i="1" s="1"/>
  <c r="AW242" i="1"/>
  <c r="BC242" i="1" s="1"/>
  <c r="I243" i="1"/>
  <c r="BI243" i="1"/>
  <c r="AC243" i="1" s="1"/>
  <c r="AX243" i="1"/>
  <c r="BI251" i="1"/>
  <c r="AC251" i="1" s="1"/>
  <c r="AX251" i="1"/>
  <c r="AV251" i="1" s="1"/>
  <c r="I251" i="1"/>
  <c r="BI258" i="1"/>
  <c r="AC258" i="1" s="1"/>
  <c r="I258" i="1"/>
  <c r="AX258" i="1"/>
  <c r="AW263" i="1"/>
  <c r="BC263" i="1" s="1"/>
  <c r="BH263" i="1"/>
  <c r="AB263" i="1" s="1"/>
  <c r="H263" i="1"/>
  <c r="BI268" i="1"/>
  <c r="AX268" i="1"/>
  <c r="BI269" i="1"/>
  <c r="AC269" i="1" s="1"/>
  <c r="AX269" i="1"/>
  <c r="H272" i="1"/>
  <c r="BH272" i="1"/>
  <c r="AB272" i="1" s="1"/>
  <c r="AW272" i="1"/>
  <c r="BI315" i="1"/>
  <c r="AC315" i="1" s="1"/>
  <c r="AX315" i="1"/>
  <c r="AV315" i="1" s="1"/>
  <c r="I315" i="1"/>
  <c r="H329" i="1"/>
  <c r="AW329" i="1"/>
  <c r="BH329" i="1"/>
  <c r="AB329" i="1" s="1"/>
  <c r="BI330" i="1"/>
  <c r="AC330" i="1" s="1"/>
  <c r="AX330" i="1"/>
  <c r="I330" i="1"/>
  <c r="BI338" i="1"/>
  <c r="AC338" i="1" s="1"/>
  <c r="I338" i="1"/>
  <c r="BI341" i="1"/>
  <c r="AC341" i="1" s="1"/>
  <c r="AX341" i="1"/>
  <c r="I341" i="1"/>
  <c r="AU93" i="1"/>
  <c r="BH98" i="1"/>
  <c r="AD98" i="1" s="1"/>
  <c r="AW98" i="1"/>
  <c r="BC98" i="1" s="1"/>
  <c r="BI113" i="1"/>
  <c r="AE113" i="1" s="1"/>
  <c r="AX113" i="1"/>
  <c r="BH154" i="1"/>
  <c r="AB154" i="1" s="1"/>
  <c r="AW154" i="1"/>
  <c r="AX158" i="1"/>
  <c r="BI158" i="1"/>
  <c r="AC158" i="1" s="1"/>
  <c r="BI178" i="1"/>
  <c r="AC178" i="1" s="1"/>
  <c r="AX178" i="1"/>
  <c r="I178" i="1"/>
  <c r="AW184" i="1"/>
  <c r="AV184" i="1" s="1"/>
  <c r="H184" i="1"/>
  <c r="BH220" i="1"/>
  <c r="AB220" i="1" s="1"/>
  <c r="AW220" i="1"/>
  <c r="H220" i="1"/>
  <c r="BH235" i="1"/>
  <c r="AB235" i="1" s="1"/>
  <c r="AW235" i="1"/>
  <c r="H235" i="1"/>
  <c r="BI265" i="1"/>
  <c r="AC265" i="1" s="1"/>
  <c r="I265" i="1"/>
  <c r="AX265" i="1"/>
  <c r="BC265" i="1" s="1"/>
  <c r="AT53" i="1"/>
  <c r="AV58" i="1"/>
  <c r="H76" i="1"/>
  <c r="BI90" i="1"/>
  <c r="AE90" i="1" s="1"/>
  <c r="AX90" i="1"/>
  <c r="I94" i="1"/>
  <c r="H96" i="1"/>
  <c r="BH96" i="1"/>
  <c r="AD96" i="1" s="1"/>
  <c r="I101" i="1"/>
  <c r="BC105" i="1"/>
  <c r="AV105" i="1"/>
  <c r="AW119" i="1"/>
  <c r="AV119" i="1" s="1"/>
  <c r="BH119" i="1"/>
  <c r="AD119" i="1" s="1"/>
  <c r="BH128" i="1"/>
  <c r="AD128" i="1" s="1"/>
  <c r="AW128" i="1"/>
  <c r="H133" i="1"/>
  <c r="J27" i="2" s="1"/>
  <c r="BH144" i="1"/>
  <c r="AB144" i="1" s="1"/>
  <c r="H144" i="1"/>
  <c r="AW144" i="1"/>
  <c r="AV144" i="1" s="1"/>
  <c r="BH147" i="1"/>
  <c r="AB147" i="1" s="1"/>
  <c r="AW147" i="1"/>
  <c r="H147" i="1"/>
  <c r="H146" i="1" s="1"/>
  <c r="J30" i="2" s="1"/>
  <c r="AS148" i="1"/>
  <c r="AU164" i="1"/>
  <c r="AX199" i="1"/>
  <c r="H223" i="1"/>
  <c r="BH223" i="1"/>
  <c r="AB223" i="1" s="1"/>
  <c r="AW223" i="1"/>
  <c r="AW243" i="1"/>
  <c r="BC243" i="1" s="1"/>
  <c r="BH243" i="1"/>
  <c r="AB243" i="1" s="1"/>
  <c r="BI248" i="1"/>
  <c r="AX248" i="1"/>
  <c r="H251" i="1"/>
  <c r="AW251" i="1"/>
  <c r="BH251" i="1"/>
  <c r="AB251" i="1" s="1"/>
  <c r="BH270" i="1"/>
  <c r="AB270" i="1" s="1"/>
  <c r="H270" i="1"/>
  <c r="AW270" i="1"/>
  <c r="I278" i="1"/>
  <c r="H283" i="1"/>
  <c r="BH283" i="1"/>
  <c r="AB283" i="1" s="1"/>
  <c r="AW283" i="1"/>
  <c r="AV288" i="1"/>
  <c r="AW309" i="1"/>
  <c r="H309" i="1"/>
  <c r="BH309" i="1"/>
  <c r="AB309" i="1" s="1"/>
  <c r="H318" i="1"/>
  <c r="AW318" i="1"/>
  <c r="BH318" i="1"/>
  <c r="AB318" i="1" s="1"/>
  <c r="BI319" i="1"/>
  <c r="AC319" i="1" s="1"/>
  <c r="AX319" i="1"/>
  <c r="I319" i="1"/>
  <c r="BH330" i="1"/>
  <c r="AB330" i="1" s="1"/>
  <c r="AW330" i="1"/>
  <c r="H330" i="1"/>
  <c r="H341" i="1"/>
  <c r="BH341" i="1"/>
  <c r="AB341" i="1" s="1"/>
  <c r="AW341" i="1"/>
  <c r="AX19" i="1"/>
  <c r="H23" i="1"/>
  <c r="H22" i="1" s="1"/>
  <c r="J13" i="2" s="1"/>
  <c r="H18" i="1"/>
  <c r="AX20" i="1"/>
  <c r="AV20" i="1" s="1"/>
  <c r="I23" i="1"/>
  <c r="I22" i="1" s="1"/>
  <c r="K13" i="2" s="1"/>
  <c r="AX23" i="1"/>
  <c r="H27" i="1"/>
  <c r="AS24" i="1"/>
  <c r="AT24" i="1"/>
  <c r="AV32" i="1"/>
  <c r="AU24" i="1"/>
  <c r="I34" i="1"/>
  <c r="AX34" i="1"/>
  <c r="H35" i="1"/>
  <c r="BI35" i="1"/>
  <c r="AC35" i="1" s="1"/>
  <c r="AW39" i="1"/>
  <c r="H40" i="1"/>
  <c r="H38" i="1" s="1"/>
  <c r="J16" i="2" s="1"/>
  <c r="AW43" i="1"/>
  <c r="BC43" i="1" s="1"/>
  <c r="BH43" i="1"/>
  <c r="AB43" i="1" s="1"/>
  <c r="BC48" i="1"/>
  <c r="BH55" i="1"/>
  <c r="AB55" i="1" s="1"/>
  <c r="AX56" i="1"/>
  <c r="AW57" i="1"/>
  <c r="BH57" i="1"/>
  <c r="AB57" i="1" s="1"/>
  <c r="AT61" i="1"/>
  <c r="AW75" i="1"/>
  <c r="AX77" i="1"/>
  <c r="BC77" i="1" s="1"/>
  <c r="BI77" i="1"/>
  <c r="AE77" i="1" s="1"/>
  <c r="H81" i="1"/>
  <c r="BH81" i="1"/>
  <c r="AD81" i="1" s="1"/>
  <c r="I86" i="1"/>
  <c r="AW92" i="1"/>
  <c r="AV92" i="1" s="1"/>
  <c r="BH92" i="1"/>
  <c r="H92" i="1"/>
  <c r="BH94" i="1"/>
  <c r="AD94" i="1" s="1"/>
  <c r="AW94" i="1"/>
  <c r="H100" i="1"/>
  <c r="AW100" i="1"/>
  <c r="BH100" i="1"/>
  <c r="AD100" i="1" s="1"/>
  <c r="I108" i="1"/>
  <c r="AX108" i="1"/>
  <c r="BI110" i="1"/>
  <c r="AE110" i="1" s="1"/>
  <c r="I112" i="1"/>
  <c r="AV112" i="1"/>
  <c r="BC117" i="1"/>
  <c r="BH118" i="1"/>
  <c r="AD118" i="1" s="1"/>
  <c r="AW118" i="1"/>
  <c r="H118" i="1"/>
  <c r="BI123" i="1"/>
  <c r="AE123" i="1" s="1"/>
  <c r="H128" i="1"/>
  <c r="H127" i="1" s="1"/>
  <c r="J25" i="2" s="1"/>
  <c r="BH134" i="1"/>
  <c r="AD134" i="1" s="1"/>
  <c r="AW134" i="1"/>
  <c r="H142" i="1"/>
  <c r="AW142" i="1"/>
  <c r="BH142" i="1"/>
  <c r="AB142" i="1" s="1"/>
  <c r="I144" i="1"/>
  <c r="I149" i="1"/>
  <c r="BI152" i="1"/>
  <c r="AC152" i="1" s="1"/>
  <c r="AX152" i="1"/>
  <c r="BI153" i="1"/>
  <c r="AC153" i="1" s="1"/>
  <c r="AX153" i="1"/>
  <c r="AV153" i="1" s="1"/>
  <c r="I153" i="1"/>
  <c r="BI157" i="1"/>
  <c r="AC157" i="1" s="1"/>
  <c r="I157" i="1"/>
  <c r="AX157" i="1"/>
  <c r="BC157" i="1" s="1"/>
  <c r="BH158" i="1"/>
  <c r="AB158" i="1" s="1"/>
  <c r="AW158" i="1"/>
  <c r="H158" i="1"/>
  <c r="AX168" i="1"/>
  <c r="BI168" i="1"/>
  <c r="BH169" i="1"/>
  <c r="AX170" i="1"/>
  <c r="BI170" i="1"/>
  <c r="AC170" i="1" s="1"/>
  <c r="I170" i="1"/>
  <c r="BI171" i="1"/>
  <c r="AX171" i="1"/>
  <c r="AX172" i="1"/>
  <c r="I172" i="1"/>
  <c r="BI172" i="1"/>
  <c r="BH187" i="1"/>
  <c r="AB187" i="1" s="1"/>
  <c r="AW187" i="1"/>
  <c r="BC193" i="1"/>
  <c r="BH194" i="1"/>
  <c r="AF194" i="1" s="1"/>
  <c r="AW194" i="1"/>
  <c r="AV194" i="1" s="1"/>
  <c r="H194" i="1"/>
  <c r="BI197" i="1"/>
  <c r="AG197" i="1" s="1"/>
  <c r="AX197" i="1"/>
  <c r="I197" i="1"/>
  <c r="BI201" i="1"/>
  <c r="AG201" i="1" s="1"/>
  <c r="AX201" i="1"/>
  <c r="AU202" i="1"/>
  <c r="H207" i="1"/>
  <c r="BH207" i="1"/>
  <c r="AB207" i="1" s="1"/>
  <c r="AW207" i="1"/>
  <c r="BC207" i="1" s="1"/>
  <c r="AW208" i="1"/>
  <c r="AX209" i="1"/>
  <c r="AV209" i="1" s="1"/>
  <c r="I209" i="1"/>
  <c r="BI209" i="1"/>
  <c r="AC209" i="1" s="1"/>
  <c r="H216" i="1"/>
  <c r="AW217" i="1"/>
  <c r="H217" i="1"/>
  <c r="BH217" i="1"/>
  <c r="AB217" i="1" s="1"/>
  <c r="I223" i="1"/>
  <c r="BH224" i="1"/>
  <c r="AB224" i="1" s="1"/>
  <c r="AW224" i="1"/>
  <c r="BH228" i="1"/>
  <c r="AB228" i="1" s="1"/>
  <c r="H228" i="1"/>
  <c r="AW228" i="1"/>
  <c r="BC228" i="1" s="1"/>
  <c r="BI228" i="1"/>
  <c r="AC228" i="1" s="1"/>
  <c r="I229" i="1"/>
  <c r="BI229" i="1"/>
  <c r="AC229" i="1" s="1"/>
  <c r="AX229" i="1"/>
  <c r="AV229" i="1" s="1"/>
  <c r="AW232" i="1"/>
  <c r="H232" i="1"/>
  <c r="BH232" i="1"/>
  <c r="AB232" i="1" s="1"/>
  <c r="I241" i="1"/>
  <c r="AX241" i="1"/>
  <c r="H242" i="1"/>
  <c r="AS245" i="1"/>
  <c r="AT249" i="1"/>
  <c r="H254" i="1"/>
  <c r="BH254" i="1"/>
  <c r="AB254" i="1" s="1"/>
  <c r="AW254" i="1"/>
  <c r="BC254" i="1" s="1"/>
  <c r="I269" i="1"/>
  <c r="BI271" i="1"/>
  <c r="AC271" i="1" s="1"/>
  <c r="BI272" i="1"/>
  <c r="AC272" i="1" s="1"/>
  <c r="AX272" i="1"/>
  <c r="I272" i="1"/>
  <c r="BI275" i="1"/>
  <c r="AC275" i="1" s="1"/>
  <c r="I275" i="1"/>
  <c r="AX275" i="1"/>
  <c r="BH312" i="1"/>
  <c r="AB312" i="1" s="1"/>
  <c r="AW312" i="1"/>
  <c r="H312" i="1"/>
  <c r="AX337" i="1"/>
  <c r="I337" i="1"/>
  <c r="AX338" i="1"/>
  <c r="BH351" i="1"/>
  <c r="AB351" i="1" s="1"/>
  <c r="AW351" i="1"/>
  <c r="H351" i="1"/>
  <c r="BI370" i="1"/>
  <c r="AC370" i="1" s="1"/>
  <c r="AX370" i="1"/>
  <c r="I370" i="1"/>
  <c r="BH371" i="1"/>
  <c r="AB371" i="1" s="1"/>
  <c r="AW371" i="1"/>
  <c r="BC371" i="1" s="1"/>
  <c r="I372" i="1"/>
  <c r="AX372" i="1"/>
  <c r="BI372" i="1"/>
  <c r="AC372" i="1" s="1"/>
  <c r="AT379" i="1"/>
  <c r="BH401" i="1"/>
  <c r="AB401" i="1" s="1"/>
  <c r="AW401" i="1"/>
  <c r="H401" i="1"/>
  <c r="H418" i="1"/>
  <c r="BH418" i="1"/>
  <c r="AB418" i="1" s="1"/>
  <c r="AW418" i="1"/>
  <c r="I425" i="1"/>
  <c r="AX425" i="1"/>
  <c r="AU148" i="1"/>
  <c r="AU159" i="1"/>
  <c r="AT164" i="1"/>
  <c r="I167" i="1"/>
  <c r="AX167" i="1"/>
  <c r="AV167" i="1" s="1"/>
  <c r="AW174" i="1"/>
  <c r="AW178" i="1"/>
  <c r="BI179" i="1"/>
  <c r="AC179" i="1" s="1"/>
  <c r="BI180" i="1"/>
  <c r="AC180" i="1" s="1"/>
  <c r="I193" i="1"/>
  <c r="H197" i="1"/>
  <c r="AW197" i="1"/>
  <c r="BI200" i="1"/>
  <c r="AG200" i="1" s="1"/>
  <c r="I203" i="1"/>
  <c r="H209" i="1"/>
  <c r="BC213" i="1"/>
  <c r="AT212" i="1"/>
  <c r="I227" i="1"/>
  <c r="AX227" i="1"/>
  <c r="BC227" i="1" s="1"/>
  <c r="I237" i="1"/>
  <c r="BI254" i="1"/>
  <c r="AC254" i="1" s="1"/>
  <c r="AT257" i="1"/>
  <c r="BH259" i="1"/>
  <c r="AB259" i="1" s="1"/>
  <c r="H259" i="1"/>
  <c r="AV263" i="1"/>
  <c r="BI287" i="1"/>
  <c r="AC287" i="1" s="1"/>
  <c r="AX287" i="1"/>
  <c r="AV287" i="1" s="1"/>
  <c r="I287" i="1"/>
  <c r="BI291" i="1"/>
  <c r="AC291" i="1" s="1"/>
  <c r="AX291" i="1"/>
  <c r="I291" i="1"/>
  <c r="BI294" i="1"/>
  <c r="AC294" i="1" s="1"/>
  <c r="AX294" i="1"/>
  <c r="BI295" i="1"/>
  <c r="AC295" i="1" s="1"/>
  <c r="AX295" i="1"/>
  <c r="BC295" i="1" s="1"/>
  <c r="H298" i="1"/>
  <c r="BH298" i="1"/>
  <c r="AB298" i="1" s="1"/>
  <c r="AW298" i="1"/>
  <c r="AV298" i="1" s="1"/>
  <c r="BH304" i="1"/>
  <c r="AB304" i="1" s="1"/>
  <c r="AW304" i="1"/>
  <c r="BC304" i="1" s="1"/>
  <c r="H304" i="1"/>
  <c r="H314" i="1"/>
  <c r="BH314" i="1"/>
  <c r="AB314" i="1" s="1"/>
  <c r="AW314" i="1"/>
  <c r="BC314" i="1" s="1"/>
  <c r="BH316" i="1"/>
  <c r="AB316" i="1" s="1"/>
  <c r="AW316" i="1"/>
  <c r="AV316" i="1" s="1"/>
  <c r="I317" i="1"/>
  <c r="AX317" i="1"/>
  <c r="BI342" i="1"/>
  <c r="AC342" i="1" s="1"/>
  <c r="AX342" i="1"/>
  <c r="AV342" i="1" s="1"/>
  <c r="I342" i="1"/>
  <c r="BH343" i="1"/>
  <c r="AB343" i="1" s="1"/>
  <c r="AW343" i="1"/>
  <c r="AX393" i="1"/>
  <c r="BI393" i="1"/>
  <c r="AC393" i="1" s="1"/>
  <c r="I393" i="1"/>
  <c r="BC408" i="1"/>
  <c r="AV408" i="1"/>
  <c r="BH420" i="1"/>
  <c r="AB420" i="1" s="1"/>
  <c r="AW420" i="1"/>
  <c r="BC420" i="1" s="1"/>
  <c r="H420" i="1"/>
  <c r="BH472" i="1"/>
  <c r="AB472" i="1" s="1"/>
  <c r="AW472" i="1"/>
  <c r="H472" i="1"/>
  <c r="BC88" i="1"/>
  <c r="AX96" i="1"/>
  <c r="BC107" i="1"/>
  <c r="I109" i="1"/>
  <c r="AX109" i="1"/>
  <c r="AX119" i="1"/>
  <c r="BI119" i="1"/>
  <c r="AE119" i="1" s="1"/>
  <c r="BC123" i="1"/>
  <c r="AS139" i="1"/>
  <c r="AT159" i="1"/>
  <c r="AS202" i="1"/>
  <c r="AT202" i="1"/>
  <c r="BC210" i="1"/>
  <c r="BI225" i="1"/>
  <c r="AC225" i="1" s="1"/>
  <c r="AS231" i="1"/>
  <c r="BI246" i="1"/>
  <c r="AC246" i="1" s="1"/>
  <c r="BI259" i="1"/>
  <c r="AC259" i="1" s="1"/>
  <c r="I260" i="1"/>
  <c r="AX260" i="1"/>
  <c r="AL263" i="1"/>
  <c r="AU262" i="1" s="1"/>
  <c r="J262" i="1"/>
  <c r="L45" i="2" s="1"/>
  <c r="N45" i="2" s="1"/>
  <c r="AT262" i="1"/>
  <c r="BI276" i="1"/>
  <c r="AC276" i="1" s="1"/>
  <c r="AX276" i="1"/>
  <c r="BC276" i="1" s="1"/>
  <c r="I276" i="1"/>
  <c r="BI279" i="1"/>
  <c r="AC279" i="1" s="1"/>
  <c r="I279" i="1"/>
  <c r="AX279" i="1"/>
  <c r="I294" i="1"/>
  <c r="I295" i="1"/>
  <c r="BI298" i="1"/>
  <c r="AC298" i="1" s="1"/>
  <c r="AX298" i="1"/>
  <c r="BH308" i="1"/>
  <c r="AB308" i="1" s="1"/>
  <c r="AW308" i="1"/>
  <c r="BI314" i="1"/>
  <c r="AC314" i="1" s="1"/>
  <c r="AX314" i="1"/>
  <c r="H316" i="1"/>
  <c r="AX331" i="1"/>
  <c r="BC331" i="1" s="1"/>
  <c r="I331" i="1"/>
  <c r="BI331" i="1"/>
  <c r="AC331" i="1" s="1"/>
  <c r="I332" i="1"/>
  <c r="BI332" i="1"/>
  <c r="AC332" i="1" s="1"/>
  <c r="AX332" i="1"/>
  <c r="AV332" i="1" s="1"/>
  <c r="BH339" i="1"/>
  <c r="AB339" i="1" s="1"/>
  <c r="AW339" i="1"/>
  <c r="AW352" i="1"/>
  <c r="H352" i="1"/>
  <c r="BH352" i="1"/>
  <c r="AB352" i="1" s="1"/>
  <c r="AW398" i="1"/>
  <c r="H398" i="1"/>
  <c r="BH398" i="1"/>
  <c r="AB398" i="1" s="1"/>
  <c r="I399" i="1"/>
  <c r="BI399" i="1"/>
  <c r="AC399" i="1" s="1"/>
  <c r="AX399" i="1"/>
  <c r="H407" i="1"/>
  <c r="AW407" i="1"/>
  <c r="BH407" i="1"/>
  <c r="AB407" i="1" s="1"/>
  <c r="BI412" i="1"/>
  <c r="AC412" i="1" s="1"/>
  <c r="AX412" i="1"/>
  <c r="I412" i="1"/>
  <c r="BI426" i="1"/>
  <c r="AC426" i="1" s="1"/>
  <c r="AX426" i="1"/>
  <c r="AV426" i="1" s="1"/>
  <c r="I426" i="1"/>
  <c r="BH431" i="1"/>
  <c r="AB431" i="1" s="1"/>
  <c r="AW431" i="1"/>
  <c r="BH442" i="1"/>
  <c r="AB442" i="1" s="1"/>
  <c r="H442" i="1"/>
  <c r="AW442" i="1"/>
  <c r="H467" i="1"/>
  <c r="BH467" i="1"/>
  <c r="AB467" i="1" s="1"/>
  <c r="AW467" i="1"/>
  <c r="BC358" i="1"/>
  <c r="BI359" i="1"/>
  <c r="AC359" i="1" s="1"/>
  <c r="H380" i="1"/>
  <c r="AW380" i="1"/>
  <c r="BH380" i="1"/>
  <c r="AB380" i="1" s="1"/>
  <c r="AW394" i="1"/>
  <c r="BH394" i="1"/>
  <c r="AB394" i="1" s="1"/>
  <c r="BI418" i="1"/>
  <c r="AC418" i="1" s="1"/>
  <c r="AX418" i="1"/>
  <c r="BI423" i="1"/>
  <c r="AC423" i="1" s="1"/>
  <c r="I423" i="1"/>
  <c r="AX423" i="1"/>
  <c r="AV423" i="1" s="1"/>
  <c r="BH435" i="1"/>
  <c r="AB435" i="1" s="1"/>
  <c r="AW435" i="1"/>
  <c r="H441" i="1"/>
  <c r="AW441" i="1"/>
  <c r="BH454" i="1"/>
  <c r="AB454" i="1" s="1"/>
  <c r="AW454" i="1"/>
  <c r="I458" i="1"/>
  <c r="BI458" i="1"/>
  <c r="AC458" i="1" s="1"/>
  <c r="AX458" i="1"/>
  <c r="BI467" i="1"/>
  <c r="AC467" i="1" s="1"/>
  <c r="AX467" i="1"/>
  <c r="I467" i="1"/>
  <c r="BH277" i="1"/>
  <c r="AB277" i="1" s="1"/>
  <c r="BC289" i="1"/>
  <c r="BH293" i="1"/>
  <c r="AB293" i="1" s="1"/>
  <c r="BI304" i="1"/>
  <c r="AC304" i="1" s="1"/>
  <c r="BC315" i="1"/>
  <c r="BH336" i="1"/>
  <c r="AB336" i="1" s="1"/>
  <c r="BI347" i="1"/>
  <c r="AC347" i="1" s="1"/>
  <c r="I359" i="1"/>
  <c r="BI364" i="1"/>
  <c r="AC364" i="1" s="1"/>
  <c r="I364" i="1"/>
  <c r="AX364" i="1"/>
  <c r="BI374" i="1"/>
  <c r="AC374" i="1" s="1"/>
  <c r="AX374" i="1"/>
  <c r="I374" i="1"/>
  <c r="AX375" i="1"/>
  <c r="I375" i="1"/>
  <c r="H389" i="1"/>
  <c r="BH389" i="1"/>
  <c r="AB389" i="1" s="1"/>
  <c r="AW389" i="1"/>
  <c r="I396" i="1"/>
  <c r="AX396" i="1"/>
  <c r="BH397" i="1"/>
  <c r="AB397" i="1" s="1"/>
  <c r="AW397" i="1"/>
  <c r="H404" i="1"/>
  <c r="BH404" i="1"/>
  <c r="AB404" i="1" s="1"/>
  <c r="AW404" i="1"/>
  <c r="BH405" i="1"/>
  <c r="AB405" i="1" s="1"/>
  <c r="AW405" i="1"/>
  <c r="AV405" i="1" s="1"/>
  <c r="I406" i="1"/>
  <c r="BI406" i="1"/>
  <c r="AC406" i="1" s="1"/>
  <c r="AX406" i="1"/>
  <c r="AX409" i="1"/>
  <c r="AV409" i="1" s="1"/>
  <c r="I409" i="1"/>
  <c r="BC410" i="1"/>
  <c r="BH410" i="1"/>
  <c r="AB410" i="1" s="1"/>
  <c r="I418" i="1"/>
  <c r="BI419" i="1"/>
  <c r="AC419" i="1" s="1"/>
  <c r="AX419" i="1"/>
  <c r="AV419" i="1" s="1"/>
  <c r="I419" i="1"/>
  <c r="I420" i="1"/>
  <c r="BH427" i="1"/>
  <c r="AB427" i="1" s="1"/>
  <c r="AW427" i="1"/>
  <c r="H427" i="1"/>
  <c r="BH432" i="1"/>
  <c r="AB432" i="1" s="1"/>
  <c r="H432" i="1"/>
  <c r="AX433" i="1"/>
  <c r="H434" i="1"/>
  <c r="AW434" i="1"/>
  <c r="AV434" i="1" s="1"/>
  <c r="BI441" i="1"/>
  <c r="AC441" i="1" s="1"/>
  <c r="AX441" i="1"/>
  <c r="I442" i="1"/>
  <c r="BH443" i="1"/>
  <c r="AB443" i="1" s="1"/>
  <c r="H443" i="1"/>
  <c r="BI449" i="1"/>
  <c r="AC449" i="1" s="1"/>
  <c r="I449" i="1"/>
  <c r="AX449" i="1"/>
  <c r="AV449" i="1" s="1"/>
  <c r="H453" i="1"/>
  <c r="AW453" i="1"/>
  <c r="AV453" i="1" s="1"/>
  <c r="BI460" i="1"/>
  <c r="AC460" i="1" s="1"/>
  <c r="I460" i="1"/>
  <c r="BH468" i="1"/>
  <c r="AB468" i="1" s="1"/>
  <c r="AW468" i="1"/>
  <c r="BC468" i="1" s="1"/>
  <c r="BH469" i="1"/>
  <c r="AB469" i="1" s="1"/>
  <c r="AW469" i="1"/>
  <c r="BI471" i="1"/>
  <c r="AC471" i="1" s="1"/>
  <c r="AX471" i="1"/>
  <c r="AU249" i="1"/>
  <c r="H280" i="1"/>
  <c r="BI284" i="1"/>
  <c r="AC284" i="1" s="1"/>
  <c r="BI288" i="1"/>
  <c r="AC288" i="1" s="1"/>
  <c r="I290" i="1"/>
  <c r="H296" i="1"/>
  <c r="BI300" i="1"/>
  <c r="AC300" i="1" s="1"/>
  <c r="BI301" i="1"/>
  <c r="AC301" i="1" s="1"/>
  <c r="BH302" i="1"/>
  <c r="AB302" i="1" s="1"/>
  <c r="I323" i="1"/>
  <c r="AX323" i="1"/>
  <c r="BH325" i="1"/>
  <c r="AB325" i="1" s="1"/>
  <c r="BI343" i="1"/>
  <c r="AC343" i="1" s="1"/>
  <c r="BI344" i="1"/>
  <c r="AC344" i="1" s="1"/>
  <c r="BH345" i="1"/>
  <c r="AB345" i="1" s="1"/>
  <c r="H347" i="1"/>
  <c r="AW347" i="1"/>
  <c r="AV347" i="1" s="1"/>
  <c r="BH348" i="1"/>
  <c r="AB348" i="1" s="1"/>
  <c r="AX354" i="1"/>
  <c r="H355" i="1"/>
  <c r="H358" i="1"/>
  <c r="AV358" i="1"/>
  <c r="BH358" i="1"/>
  <c r="AB358" i="1" s="1"/>
  <c r="H370" i="1"/>
  <c r="BH370" i="1"/>
  <c r="AB370" i="1" s="1"/>
  <c r="AW370" i="1"/>
  <c r="BH381" i="1"/>
  <c r="AB381" i="1" s="1"/>
  <c r="AW381" i="1"/>
  <c r="BC381" i="1" s="1"/>
  <c r="BI389" i="1"/>
  <c r="AC389" i="1" s="1"/>
  <c r="AX389" i="1"/>
  <c r="BH393" i="1"/>
  <c r="AB393" i="1" s="1"/>
  <c r="AW393" i="1"/>
  <c r="H393" i="1"/>
  <c r="BI404" i="1"/>
  <c r="AC404" i="1" s="1"/>
  <c r="AX404" i="1"/>
  <c r="H405" i="1"/>
  <c r="BI409" i="1"/>
  <c r="AC409" i="1" s="1"/>
  <c r="I410" i="1"/>
  <c r="BI410" i="1"/>
  <c r="AC410" i="1" s="1"/>
  <c r="AX410" i="1"/>
  <c r="AV410" i="1" s="1"/>
  <c r="H426" i="1"/>
  <c r="AW426" i="1"/>
  <c r="BH436" i="1"/>
  <c r="AB436" i="1" s="1"/>
  <c r="H436" i="1"/>
  <c r="AX437" i="1"/>
  <c r="H438" i="1"/>
  <c r="AW438" i="1"/>
  <c r="BC438" i="1" s="1"/>
  <c r="I441" i="1"/>
  <c r="AX444" i="1"/>
  <c r="I448" i="1"/>
  <c r="AX448" i="1"/>
  <c r="BI450" i="1"/>
  <c r="AC450" i="1" s="1"/>
  <c r="I450" i="1"/>
  <c r="BH455" i="1"/>
  <c r="AB455" i="1" s="1"/>
  <c r="H455" i="1"/>
  <c r="I456" i="1"/>
  <c r="AX456" i="1"/>
  <c r="H461" i="1"/>
  <c r="BI463" i="1"/>
  <c r="AC463" i="1" s="1"/>
  <c r="I463" i="1"/>
  <c r="AT369" i="1"/>
  <c r="BH413" i="1"/>
  <c r="AB413" i="1" s="1"/>
  <c r="AT424" i="1"/>
  <c r="H460" i="1"/>
  <c r="I464" i="1"/>
  <c r="BH362" i="1"/>
  <c r="AB362" i="1" s="1"/>
  <c r="BH376" i="1"/>
  <c r="AB376" i="1" s="1"/>
  <c r="I385" i="1"/>
  <c r="AX385" i="1"/>
  <c r="BH387" i="1"/>
  <c r="AB387" i="1" s="1"/>
  <c r="AX388" i="1"/>
  <c r="H421" i="1"/>
  <c r="AX429" i="1"/>
  <c r="AX440" i="1"/>
  <c r="AT470" i="1"/>
  <c r="AU15" i="1"/>
  <c r="AX17" i="1"/>
  <c r="BC17" i="1" s="1"/>
  <c r="H471" i="1"/>
  <c r="AW471" i="1"/>
  <c r="AW16" i="1"/>
  <c r="AV16" i="1" s="1"/>
  <c r="H16" i="1"/>
  <c r="AU139" i="1"/>
  <c r="AV17" i="1"/>
  <c r="BC16" i="1"/>
  <c r="AU61" i="1"/>
  <c r="BI16" i="1"/>
  <c r="AC16" i="1" s="1"/>
  <c r="AX118" i="1"/>
  <c r="BI118" i="1"/>
  <c r="AE118" i="1" s="1"/>
  <c r="AW135" i="1"/>
  <c r="BH135" i="1"/>
  <c r="AD135" i="1" s="1"/>
  <c r="AW145" i="1"/>
  <c r="H145" i="1"/>
  <c r="H181" i="1"/>
  <c r="BH181" i="1"/>
  <c r="AB181" i="1" s="1"/>
  <c r="AV196" i="1"/>
  <c r="BC196" i="1"/>
  <c r="H233" i="1"/>
  <c r="BH233" i="1"/>
  <c r="AB233" i="1" s="1"/>
  <c r="AW233" i="1"/>
  <c r="BI286" i="1"/>
  <c r="AC286" i="1" s="1"/>
  <c r="I286" i="1"/>
  <c r="AX286" i="1"/>
  <c r="BC286" i="1" s="1"/>
  <c r="H28" i="1"/>
  <c r="H62" i="1"/>
  <c r="BC62" i="1"/>
  <c r="BI76" i="1"/>
  <c r="AE76" i="1" s="1"/>
  <c r="BC81" i="1"/>
  <c r="J84" i="1"/>
  <c r="L22" i="2" s="1"/>
  <c r="N22" i="2" s="1"/>
  <c r="AL85" i="1"/>
  <c r="AU84" i="1" s="1"/>
  <c r="AX85" i="1"/>
  <c r="I85" i="1"/>
  <c r="BH90" i="1"/>
  <c r="AD90" i="1" s="1"/>
  <c r="AW90" i="1"/>
  <c r="H90" i="1"/>
  <c r="BC95" i="1"/>
  <c r="AX98" i="1"/>
  <c r="I98" i="1"/>
  <c r="BC110" i="1"/>
  <c r="H123" i="1"/>
  <c r="AX155" i="1"/>
  <c r="AV156" i="1"/>
  <c r="BC156" i="1"/>
  <c r="I162" i="1"/>
  <c r="AX162" i="1"/>
  <c r="H170" i="1"/>
  <c r="AW170" i="1"/>
  <c r="AT173" i="1"/>
  <c r="H176" i="1"/>
  <c r="AX185" i="1"/>
  <c r="AX187" i="1"/>
  <c r="BI187" i="1"/>
  <c r="AC187" i="1" s="1"/>
  <c r="I187" i="1"/>
  <c r="AW191" i="1"/>
  <c r="BH191" i="1"/>
  <c r="AF191" i="1" s="1"/>
  <c r="BI194" i="1"/>
  <c r="AG194" i="1" s="1"/>
  <c r="BC200" i="1"/>
  <c r="AX205" i="1"/>
  <c r="BC205" i="1" s="1"/>
  <c r="BI205" i="1"/>
  <c r="AC205" i="1" s="1"/>
  <c r="I205" i="1"/>
  <c r="H218" i="1"/>
  <c r="BH218" i="1"/>
  <c r="AB218" i="1" s="1"/>
  <c r="AW218" i="1"/>
  <c r="AV228" i="1"/>
  <c r="AU231" i="1"/>
  <c r="AX235" i="1"/>
  <c r="BI235" i="1"/>
  <c r="AC235" i="1" s="1"/>
  <c r="I235" i="1"/>
  <c r="I236" i="1"/>
  <c r="BI236" i="1"/>
  <c r="AC236" i="1" s="1"/>
  <c r="AX236" i="1"/>
  <c r="BC236" i="1" s="1"/>
  <c r="AW239" i="1"/>
  <c r="BH239" i="1"/>
  <c r="AB239" i="1" s="1"/>
  <c r="H239" i="1"/>
  <c r="H240" i="1"/>
  <c r="BH240" i="1"/>
  <c r="AB240" i="1" s="1"/>
  <c r="AW240" i="1"/>
  <c r="AX247" i="1"/>
  <c r="AV247" i="1" s="1"/>
  <c r="BI247" i="1"/>
  <c r="AC247" i="1" s="1"/>
  <c r="I247" i="1"/>
  <c r="I245" i="1" s="1"/>
  <c r="K41" i="2" s="1"/>
  <c r="BC251" i="1"/>
  <c r="BC347" i="1"/>
  <c r="H349" i="1"/>
  <c r="BH349" i="1"/>
  <c r="AB349" i="1" s="1"/>
  <c r="AW349" i="1"/>
  <c r="AX355" i="1"/>
  <c r="BI355" i="1"/>
  <c r="AC355" i="1" s="1"/>
  <c r="I355" i="1"/>
  <c r="AV359" i="1"/>
  <c r="BC359" i="1"/>
  <c r="I402" i="1"/>
  <c r="AX402" i="1"/>
  <c r="BI402" i="1"/>
  <c r="AC402" i="1" s="1"/>
  <c r="C21" i="3"/>
  <c r="BH17" i="1"/>
  <c r="AB17" i="1" s="1"/>
  <c r="H85" i="1"/>
  <c r="BH85" i="1"/>
  <c r="AD85" i="1" s="1"/>
  <c r="AW162" i="1"/>
  <c r="BH162" i="1"/>
  <c r="AW180" i="1"/>
  <c r="H180" i="1"/>
  <c r="H203" i="1"/>
  <c r="AW203" i="1"/>
  <c r="C28" i="3"/>
  <c r="F28" i="3" s="1"/>
  <c r="BI17" i="1"/>
  <c r="AC17" i="1" s="1"/>
  <c r="AX67" i="1"/>
  <c r="J68" i="1"/>
  <c r="L21" i="2" s="1"/>
  <c r="N21" i="2" s="1"/>
  <c r="AS68" i="1"/>
  <c r="BH79" i="1"/>
  <c r="AD79" i="1" s="1"/>
  <c r="AW79" i="1"/>
  <c r="H79" i="1"/>
  <c r="BI87" i="1"/>
  <c r="AE87" i="1" s="1"/>
  <c r="H89" i="1"/>
  <c r="AW89" i="1"/>
  <c r="I99" i="1"/>
  <c r="AX99" i="1"/>
  <c r="AW132" i="1"/>
  <c r="BH132" i="1"/>
  <c r="AD132" i="1" s="1"/>
  <c r="AX134" i="1"/>
  <c r="I134" i="1"/>
  <c r="I135" i="1"/>
  <c r="AX135" i="1"/>
  <c r="H138" i="1"/>
  <c r="H137" i="1" s="1"/>
  <c r="J28" i="2" s="1"/>
  <c r="BI142" i="1"/>
  <c r="AC142" i="1" s="1"/>
  <c r="I142" i="1"/>
  <c r="J159" i="1"/>
  <c r="L32" i="2" s="1"/>
  <c r="N32" i="2" s="1"/>
  <c r="AS15" i="1"/>
  <c r="I16" i="1"/>
  <c r="H17" i="1"/>
  <c r="AX18" i="1"/>
  <c r="AV18" i="1" s="1"/>
  <c r="AW23" i="1"/>
  <c r="J24" i="1"/>
  <c r="L14" i="2" s="1"/>
  <c r="N14" i="2" s="1"/>
  <c r="H32" i="1"/>
  <c r="AX33" i="1"/>
  <c r="AV33" i="1" s="1"/>
  <c r="BH33" i="1"/>
  <c r="AB33" i="1" s="1"/>
  <c r="AW34" i="1"/>
  <c r="AL39" i="1"/>
  <c r="AU38" i="1" s="1"/>
  <c r="AX39" i="1"/>
  <c r="BH39" i="1"/>
  <c r="AB39" i="1" s="1"/>
  <c r="AW40" i="1"/>
  <c r="AL45" i="1"/>
  <c r="AU44" i="1" s="1"/>
  <c r="AX45" i="1"/>
  <c r="AV45" i="1" s="1"/>
  <c r="AW49" i="1"/>
  <c r="H50" i="1"/>
  <c r="I51" i="1"/>
  <c r="BI51" i="1"/>
  <c r="AC51" i="1" s="1"/>
  <c r="AX52" i="1"/>
  <c r="AV52" i="1" s="1"/>
  <c r="J53" i="1"/>
  <c r="L19" i="2" s="1"/>
  <c r="N19" i="2" s="1"/>
  <c r="I54" i="1"/>
  <c r="BI54" i="1"/>
  <c r="AC54" i="1" s="1"/>
  <c r="AX55" i="1"/>
  <c r="AV55" i="1" s="1"/>
  <c r="BC60" i="1"/>
  <c r="J61" i="1"/>
  <c r="L20" i="2" s="1"/>
  <c r="N20" i="2" s="1"/>
  <c r="AW63" i="1"/>
  <c r="I67" i="1"/>
  <c r="AX70" i="1"/>
  <c r="AV70" i="1" s="1"/>
  <c r="AX72" i="1"/>
  <c r="BI72" i="1"/>
  <c r="AE72" i="1" s="1"/>
  <c r="AX73" i="1"/>
  <c r="BC73" i="1" s="1"/>
  <c r="BH73" i="1"/>
  <c r="AD73" i="1" s="1"/>
  <c r="I81" i="1"/>
  <c r="BI81" i="1"/>
  <c r="AE81" i="1" s="1"/>
  <c r="BC82" i="1"/>
  <c r="AW85" i="1"/>
  <c r="BI85" i="1"/>
  <c r="AE85" i="1" s="1"/>
  <c r="I92" i="1"/>
  <c r="BI92" i="1"/>
  <c r="J93" i="1"/>
  <c r="L23" i="2" s="1"/>
  <c r="N23" i="2" s="1"/>
  <c r="AT93" i="1"/>
  <c r="I95" i="1"/>
  <c r="BI95" i="1"/>
  <c r="AE95" i="1" s="1"/>
  <c r="AW97" i="1"/>
  <c r="BH97" i="1"/>
  <c r="AD97" i="1" s="1"/>
  <c r="BI98" i="1"/>
  <c r="AE98" i="1" s="1"/>
  <c r="BI99" i="1"/>
  <c r="AE99" i="1" s="1"/>
  <c r="H103" i="1"/>
  <c r="AX104" i="1"/>
  <c r="I104" i="1"/>
  <c r="AV106" i="1"/>
  <c r="BI106" i="1"/>
  <c r="AE106" i="1" s="1"/>
  <c r="H108" i="1"/>
  <c r="AW108" i="1"/>
  <c r="BH109" i="1"/>
  <c r="AD109" i="1" s="1"/>
  <c r="AW109" i="1"/>
  <c r="H109" i="1"/>
  <c r="BC111" i="1"/>
  <c r="BC112" i="1"/>
  <c r="AX114" i="1"/>
  <c r="I114" i="1"/>
  <c r="I115" i="1"/>
  <c r="AX115" i="1"/>
  <c r="H120" i="1"/>
  <c r="BH120" i="1"/>
  <c r="AD120" i="1" s="1"/>
  <c r="AV123" i="1"/>
  <c r="I124" i="1"/>
  <c r="BI124" i="1"/>
  <c r="AW129" i="1"/>
  <c r="BH129" i="1"/>
  <c r="AX131" i="1"/>
  <c r="BC131" i="1" s="1"/>
  <c r="I131" i="1"/>
  <c r="AL132" i="1"/>
  <c r="AU130" i="1" s="1"/>
  <c r="J130" i="1"/>
  <c r="L26" i="2" s="1"/>
  <c r="N26" i="2" s="1"/>
  <c r="I132" i="1"/>
  <c r="AX132" i="1"/>
  <c r="BI134" i="1"/>
  <c r="AE134" i="1" s="1"/>
  <c r="BI135" i="1"/>
  <c r="AE135" i="1" s="1"/>
  <c r="AX138" i="1"/>
  <c r="AV138" i="1" s="1"/>
  <c r="BH138" i="1"/>
  <c r="AB138" i="1" s="1"/>
  <c r="AX141" i="1"/>
  <c r="AV141" i="1" s="1"/>
  <c r="BH141" i="1"/>
  <c r="AB141" i="1" s="1"/>
  <c r="AW151" i="1"/>
  <c r="BH151" i="1"/>
  <c r="AB151" i="1" s="1"/>
  <c r="AV154" i="1"/>
  <c r="BI154" i="1"/>
  <c r="AC154" i="1" s="1"/>
  <c r="BI155" i="1"/>
  <c r="AC155" i="1" s="1"/>
  <c r="BI161" i="1"/>
  <c r="BI162" i="1"/>
  <c r="AW163" i="1"/>
  <c r="H165" i="1"/>
  <c r="AX166" i="1"/>
  <c r="I166" i="1"/>
  <c r="I169" i="1"/>
  <c r="BI169" i="1"/>
  <c r="AU173" i="1"/>
  <c r="AX176" i="1"/>
  <c r="AV176" i="1" s="1"/>
  <c r="BH176" i="1"/>
  <c r="AB176" i="1" s="1"/>
  <c r="I181" i="1"/>
  <c r="AW181" i="1"/>
  <c r="BI181" i="1"/>
  <c r="AC181" i="1" s="1"/>
  <c r="BI185" i="1"/>
  <c r="AC185" i="1" s="1"/>
  <c r="AW186" i="1"/>
  <c r="BH186" i="1"/>
  <c r="AB186" i="1" s="1"/>
  <c r="H191" i="1"/>
  <c r="I191" i="1"/>
  <c r="AX191" i="1"/>
  <c r="AW199" i="1"/>
  <c r="H199" i="1"/>
  <c r="H200" i="1"/>
  <c r="BH200" i="1"/>
  <c r="AF200" i="1" s="1"/>
  <c r="BH203" i="1"/>
  <c r="AB203" i="1" s="1"/>
  <c r="AW206" i="1"/>
  <c r="BH206" i="1"/>
  <c r="AB206" i="1" s="1"/>
  <c r="AV207" i="1"/>
  <c r="BC209" i="1"/>
  <c r="BI211" i="1"/>
  <c r="AC211" i="1" s="1"/>
  <c r="I211" i="1"/>
  <c r="AX211" i="1"/>
  <c r="BI214" i="1"/>
  <c r="AC214" i="1" s="1"/>
  <c r="I214" i="1"/>
  <c r="AX214" i="1"/>
  <c r="AX220" i="1"/>
  <c r="BI220" i="1"/>
  <c r="AC220" i="1" s="1"/>
  <c r="I220" i="1"/>
  <c r="I221" i="1"/>
  <c r="BI221" i="1"/>
  <c r="AC221" i="1" s="1"/>
  <c r="AX221" i="1"/>
  <c r="BC221" i="1" s="1"/>
  <c r="AX270" i="1"/>
  <c r="I270" i="1"/>
  <c r="BI270" i="1"/>
  <c r="AC270" i="1" s="1"/>
  <c r="H275" i="1"/>
  <c r="BH275" i="1"/>
  <c r="AB275" i="1" s="1"/>
  <c r="AW275" i="1"/>
  <c r="AT273" i="1"/>
  <c r="BI318" i="1"/>
  <c r="AC318" i="1" s="1"/>
  <c r="I318" i="1"/>
  <c r="AX318" i="1"/>
  <c r="AV318" i="1" s="1"/>
  <c r="H333" i="1"/>
  <c r="BH333" i="1"/>
  <c r="AB333" i="1" s="1"/>
  <c r="AW333" i="1"/>
  <c r="AX339" i="1"/>
  <c r="BI339" i="1"/>
  <c r="AC339" i="1" s="1"/>
  <c r="I339" i="1"/>
  <c r="BC400" i="1"/>
  <c r="AV400" i="1"/>
  <c r="I69" i="1"/>
  <c r="AX69" i="1"/>
  <c r="H74" i="1"/>
  <c r="BH74" i="1"/>
  <c r="AD74" i="1" s="1"/>
  <c r="AW99" i="1"/>
  <c r="BH99" i="1"/>
  <c r="AD99" i="1" s="1"/>
  <c r="I126" i="1"/>
  <c r="I125" i="1" s="1"/>
  <c r="K24" i="2" s="1"/>
  <c r="AX126" i="1"/>
  <c r="AX150" i="1"/>
  <c r="BI150" i="1"/>
  <c r="AC150" i="1" s="1"/>
  <c r="I150" i="1"/>
  <c r="BI156" i="1"/>
  <c r="AC156" i="1" s="1"/>
  <c r="I156" i="1"/>
  <c r="BH182" i="1"/>
  <c r="AB182" i="1" s="1"/>
  <c r="AW182" i="1"/>
  <c r="I184" i="1"/>
  <c r="BI184" i="1"/>
  <c r="AC184" i="1" s="1"/>
  <c r="I188" i="1"/>
  <c r="AX188" i="1"/>
  <c r="J212" i="1"/>
  <c r="L39" i="2" s="1"/>
  <c r="AL214" i="1"/>
  <c r="BH219" i="1"/>
  <c r="AB219" i="1" s="1"/>
  <c r="AW219" i="1"/>
  <c r="H219" i="1"/>
  <c r="BH241" i="1"/>
  <c r="AB241" i="1" s="1"/>
  <c r="AW241" i="1"/>
  <c r="H241" i="1"/>
  <c r="BC258" i="1"/>
  <c r="AV258" i="1"/>
  <c r="H264" i="1"/>
  <c r="AW264" i="1"/>
  <c r="BH264" i="1"/>
  <c r="AB264" i="1" s="1"/>
  <c r="AW271" i="1"/>
  <c r="H271" i="1"/>
  <c r="BH271" i="1"/>
  <c r="AB271" i="1" s="1"/>
  <c r="AV295" i="1"/>
  <c r="BC299" i="1"/>
  <c r="AV299" i="1"/>
  <c r="AV300" i="1"/>
  <c r="BC300" i="1"/>
  <c r="J15" i="1"/>
  <c r="BC32" i="1"/>
  <c r="H59" i="1"/>
  <c r="H53" i="1" s="1"/>
  <c r="J19" i="2" s="1"/>
  <c r="H66" i="1"/>
  <c r="H73" i="1"/>
  <c r="AX74" i="1"/>
  <c r="BC74" i="1" s="1"/>
  <c r="I74" i="1"/>
  <c r="AV76" i="1"/>
  <c r="H78" i="1"/>
  <c r="AW78" i="1"/>
  <c r="AV87" i="1"/>
  <c r="H104" i="1"/>
  <c r="BH104" i="1"/>
  <c r="AD104" i="1" s="1"/>
  <c r="AW115" i="1"/>
  <c r="BH115" i="1"/>
  <c r="AD115" i="1" s="1"/>
  <c r="J125" i="1"/>
  <c r="L24" i="2" s="1"/>
  <c r="N24" i="2" s="1"/>
  <c r="AL135" i="1"/>
  <c r="AU133" i="1" s="1"/>
  <c r="J133" i="1"/>
  <c r="L27" i="2" s="1"/>
  <c r="N27" i="2" s="1"/>
  <c r="H141" i="1"/>
  <c r="BC144" i="1"/>
  <c r="H166" i="1"/>
  <c r="BH166" i="1"/>
  <c r="BC169" i="1"/>
  <c r="BH171" i="1"/>
  <c r="AW171" i="1"/>
  <c r="H171" i="1"/>
  <c r="BI177" i="1"/>
  <c r="AC177" i="1" s="1"/>
  <c r="I177" i="1"/>
  <c r="AT15" i="1"/>
  <c r="C20" i="3"/>
  <c r="AW19" i="1"/>
  <c r="I21" i="1"/>
  <c r="BI21" i="1"/>
  <c r="AC21" i="1" s="1"/>
  <c r="AW25" i="1"/>
  <c r="AV26" i="1"/>
  <c r="I27" i="1"/>
  <c r="BI27" i="1"/>
  <c r="AC27" i="1" s="1"/>
  <c r="AX28" i="1"/>
  <c r="AV28" i="1" s="1"/>
  <c r="BH28" i="1"/>
  <c r="AB28" i="1" s="1"/>
  <c r="I33" i="1"/>
  <c r="AV37" i="1"/>
  <c r="I39" i="1"/>
  <c r="I38" i="1" s="1"/>
  <c r="K16" i="2" s="1"/>
  <c r="AV43" i="1"/>
  <c r="I45" i="1"/>
  <c r="I44" i="1" s="1"/>
  <c r="K18" i="2" s="1"/>
  <c r="H48" i="1"/>
  <c r="BH49" i="1"/>
  <c r="AB49" i="1" s="1"/>
  <c r="AW50" i="1"/>
  <c r="BI52" i="1"/>
  <c r="AC52" i="1" s="1"/>
  <c r="BI55" i="1"/>
  <c r="AC55" i="1" s="1"/>
  <c r="AW56" i="1"/>
  <c r="I58" i="1"/>
  <c r="BI58" i="1"/>
  <c r="AC58" i="1" s="1"/>
  <c r="AX59" i="1"/>
  <c r="BC59" i="1" s="1"/>
  <c r="BH59" i="1"/>
  <c r="AB59" i="1" s="1"/>
  <c r="AS61" i="1"/>
  <c r="I63" i="1"/>
  <c r="BH63" i="1"/>
  <c r="AD63" i="1" s="1"/>
  <c r="BI65" i="1"/>
  <c r="AE65" i="1" s="1"/>
  <c r="BH66" i="1"/>
  <c r="AD66" i="1" s="1"/>
  <c r="H67" i="1"/>
  <c r="AW67" i="1"/>
  <c r="AW69" i="1"/>
  <c r="BH69" i="1"/>
  <c r="AD69" i="1" s="1"/>
  <c r="I70" i="1"/>
  <c r="BI73" i="1"/>
  <c r="AE73" i="1" s="1"/>
  <c r="AV75" i="1"/>
  <c r="I76" i="1"/>
  <c r="H77" i="1"/>
  <c r="BH78" i="1"/>
  <c r="AD78" i="1" s="1"/>
  <c r="AW83" i="1"/>
  <c r="I87" i="1"/>
  <c r="H88" i="1"/>
  <c r="BH89" i="1"/>
  <c r="AD89" i="1" s="1"/>
  <c r="AS93" i="1"/>
  <c r="AW96" i="1"/>
  <c r="AX100" i="1"/>
  <c r="AV100" i="1" s="1"/>
  <c r="AW101" i="1"/>
  <c r="AX102" i="1"/>
  <c r="BI102" i="1"/>
  <c r="AE102" i="1" s="1"/>
  <c r="AX103" i="1"/>
  <c r="BC103" i="1" s="1"/>
  <c r="BH103" i="1"/>
  <c r="AD103" i="1" s="1"/>
  <c r="AW104" i="1"/>
  <c r="BI104" i="1"/>
  <c r="AE104" i="1" s="1"/>
  <c r="BC106" i="1"/>
  <c r="I111" i="1"/>
  <c r="BI111" i="1"/>
  <c r="AE111" i="1" s="1"/>
  <c r="AW113" i="1"/>
  <c r="BI114" i="1"/>
  <c r="AE114" i="1" s="1"/>
  <c r="BI115" i="1"/>
  <c r="AE115" i="1" s="1"/>
  <c r="AV116" i="1"/>
  <c r="BC116" i="1"/>
  <c r="I118" i="1"/>
  <c r="H119" i="1"/>
  <c r="AX120" i="1"/>
  <c r="BC120" i="1" s="1"/>
  <c r="I120" i="1"/>
  <c r="AV122" i="1"/>
  <c r="BI122" i="1"/>
  <c r="AE122" i="1" s="1"/>
  <c r="BH123" i="1"/>
  <c r="AD123" i="1" s="1"/>
  <c r="H124" i="1"/>
  <c r="AW124" i="1"/>
  <c r="AW126" i="1"/>
  <c r="BH126" i="1"/>
  <c r="AD126" i="1" s="1"/>
  <c r="AX128" i="1"/>
  <c r="AV128" i="1" s="1"/>
  <c r="I128" i="1"/>
  <c r="AL129" i="1"/>
  <c r="AU127" i="1" s="1"/>
  <c r="J127" i="1"/>
  <c r="L25" i="2" s="1"/>
  <c r="N25" i="2" s="1"/>
  <c r="I129" i="1"/>
  <c r="AX129" i="1"/>
  <c r="AV131" i="1"/>
  <c r="BI131" i="1"/>
  <c r="AE131" i="1" s="1"/>
  <c r="BI132" i="1"/>
  <c r="AE132" i="1" s="1"/>
  <c r="AX136" i="1"/>
  <c r="AV136" i="1" s="1"/>
  <c r="BC138" i="1"/>
  <c r="BI138" i="1"/>
  <c r="AC138" i="1" s="1"/>
  <c r="AV140" i="1"/>
  <c r="BI140" i="1"/>
  <c r="AC140" i="1" s="1"/>
  <c r="BC141" i="1"/>
  <c r="BI141" i="1"/>
  <c r="AC141" i="1" s="1"/>
  <c r="AX142" i="1"/>
  <c r="AV142" i="1" s="1"/>
  <c r="BH145" i="1"/>
  <c r="AB145" i="1" s="1"/>
  <c r="H151" i="1"/>
  <c r="I151" i="1"/>
  <c r="AX151" i="1"/>
  <c r="BC154" i="1"/>
  <c r="AV155" i="1"/>
  <c r="BH160" i="1"/>
  <c r="AW160" i="1"/>
  <c r="H160" i="1"/>
  <c r="H159" i="1" s="1"/>
  <c r="J32" i="2" s="1"/>
  <c r="I161" i="1"/>
  <c r="BC161" i="1"/>
  <c r="BH163" i="1"/>
  <c r="AB163" i="1" s="1"/>
  <c r="AX165" i="1"/>
  <c r="BC165" i="1" s="1"/>
  <c r="BH165" i="1"/>
  <c r="AW166" i="1"/>
  <c r="BI166" i="1"/>
  <c r="BH170" i="1"/>
  <c r="AB170" i="1" s="1"/>
  <c r="J173" i="1"/>
  <c r="L35" i="2" s="1"/>
  <c r="AV175" i="1"/>
  <c r="BI175" i="1"/>
  <c r="AC175" i="1" s="1"/>
  <c r="BI176" i="1"/>
  <c r="AC176" i="1" s="1"/>
  <c r="AX177" i="1"/>
  <c r="AV177" i="1" s="1"/>
  <c r="BH180" i="1"/>
  <c r="AB180" i="1" s="1"/>
  <c r="BI183" i="1"/>
  <c r="AC183" i="1" s="1"/>
  <c r="BC184" i="1"/>
  <c r="H185" i="1"/>
  <c r="AW185" i="1"/>
  <c r="AW188" i="1"/>
  <c r="BH188" i="1"/>
  <c r="AB188" i="1" s="1"/>
  <c r="AX190" i="1"/>
  <c r="BI190" i="1"/>
  <c r="AG190" i="1" s="1"/>
  <c r="I190" i="1"/>
  <c r="AL191" i="1"/>
  <c r="AU189" i="1" s="1"/>
  <c r="J189" i="1"/>
  <c r="L36" i="2" s="1"/>
  <c r="N36" i="2" s="1"/>
  <c r="BI191" i="1"/>
  <c r="AG191" i="1" s="1"/>
  <c r="AW192" i="1"/>
  <c r="AV193" i="1"/>
  <c r="I194" i="1"/>
  <c r="H195" i="1"/>
  <c r="BI196" i="1"/>
  <c r="AG196" i="1" s="1"/>
  <c r="I196" i="1"/>
  <c r="AW204" i="1"/>
  <c r="BH204" i="1"/>
  <c r="AB204" i="1" s="1"/>
  <c r="H206" i="1"/>
  <c r="I206" i="1"/>
  <c r="AX206" i="1"/>
  <c r="BI206" i="1"/>
  <c r="AC206" i="1" s="1"/>
  <c r="AU212" i="1"/>
  <c r="AW225" i="1"/>
  <c r="BH225" i="1"/>
  <c r="AB225" i="1" s="1"/>
  <c r="H225" i="1"/>
  <c r="BC229" i="1"/>
  <c r="H230" i="1"/>
  <c r="BH230" i="1"/>
  <c r="AW230" i="1"/>
  <c r="J231" i="1"/>
  <c r="L40" i="2" s="1"/>
  <c r="N40" i="2" s="1"/>
  <c r="BH234" i="1"/>
  <c r="AB234" i="1" s="1"/>
  <c r="AW234" i="1"/>
  <c r="H234" i="1"/>
  <c r="AT231" i="1"/>
  <c r="AV242" i="1"/>
  <c r="H255" i="1"/>
  <c r="BH255" i="1"/>
  <c r="AW255" i="1"/>
  <c r="I267" i="1"/>
  <c r="BI267" i="1"/>
  <c r="AC267" i="1" s="1"/>
  <c r="AX267" i="1"/>
  <c r="I297" i="1"/>
  <c r="AX297" i="1"/>
  <c r="J379" i="1"/>
  <c r="L52" i="2" s="1"/>
  <c r="N52" i="2" s="1"/>
  <c r="AL380" i="1"/>
  <c r="AU379" i="1" s="1"/>
  <c r="AV445" i="1"/>
  <c r="BC445" i="1"/>
  <c r="AX447" i="1"/>
  <c r="I447" i="1"/>
  <c r="BI447" i="1"/>
  <c r="AC447" i="1" s="1"/>
  <c r="AW211" i="1"/>
  <c r="AW214" i="1"/>
  <c r="H215" i="1"/>
  <c r="I216" i="1"/>
  <c r="BI216" i="1"/>
  <c r="AC216" i="1" s="1"/>
  <c r="AX217" i="1"/>
  <c r="AX226" i="1"/>
  <c r="AX232" i="1"/>
  <c r="AV232" i="1" s="1"/>
  <c r="AV236" i="1"/>
  <c r="I239" i="1"/>
  <c r="AX239" i="1"/>
  <c r="AV243" i="1"/>
  <c r="H244" i="1"/>
  <c r="BH244" i="1"/>
  <c r="H250" i="1"/>
  <c r="AW250" i="1"/>
  <c r="AW253" i="1"/>
  <c r="BH253" i="1"/>
  <c r="AB253" i="1" s="1"/>
  <c r="AX256" i="1"/>
  <c r="BI256" i="1"/>
  <c r="AC256" i="1" s="1"/>
  <c r="I256" i="1"/>
  <c r="AS257" i="1"/>
  <c r="I261" i="1"/>
  <c r="I263" i="1"/>
  <c r="BI263" i="1"/>
  <c r="AC263" i="1" s="1"/>
  <c r="AW268" i="1"/>
  <c r="BH268" i="1"/>
  <c r="AW274" i="1"/>
  <c r="H274" i="1"/>
  <c r="BI277" i="1"/>
  <c r="AC277" i="1" s="1"/>
  <c r="AX277" i="1"/>
  <c r="AV277" i="1" s="1"/>
  <c r="I277" i="1"/>
  <c r="AW281" i="1"/>
  <c r="BH281" i="1"/>
  <c r="AB281" i="1" s="1"/>
  <c r="AW285" i="1"/>
  <c r="H285" i="1"/>
  <c r="AV286" i="1"/>
  <c r="H294" i="1"/>
  <c r="AW294" i="1"/>
  <c r="BI306" i="1"/>
  <c r="AC306" i="1" s="1"/>
  <c r="BH307" i="1"/>
  <c r="AB307" i="1" s="1"/>
  <c r="AW307" i="1"/>
  <c r="H307" i="1"/>
  <c r="I309" i="1"/>
  <c r="BI309" i="1"/>
  <c r="AC309" i="1" s="1"/>
  <c r="AX309" i="1"/>
  <c r="AV309" i="1" s="1"/>
  <c r="AW313" i="1"/>
  <c r="BH313" i="1"/>
  <c r="AB313" i="1" s="1"/>
  <c r="AW317" i="1"/>
  <c r="H317" i="1"/>
  <c r="H326" i="1"/>
  <c r="AW326" i="1"/>
  <c r="AS328" i="1"/>
  <c r="AW372" i="1"/>
  <c r="H372" i="1"/>
  <c r="BH372" i="1"/>
  <c r="AB372" i="1" s="1"/>
  <c r="AT139" i="1"/>
  <c r="AS164" i="1"/>
  <c r="AW201" i="1"/>
  <c r="J202" i="1"/>
  <c r="L37" i="2" s="1"/>
  <c r="N37" i="2" s="1"/>
  <c r="I207" i="1"/>
  <c r="H210" i="1"/>
  <c r="BH211" i="1"/>
  <c r="AB211" i="1" s="1"/>
  <c r="H213" i="1"/>
  <c r="BH214" i="1"/>
  <c r="AB214" i="1" s="1"/>
  <c r="AW215" i="1"/>
  <c r="BI217" i="1"/>
  <c r="AC217" i="1" s="1"/>
  <c r="BH221" i="1"/>
  <c r="AB221" i="1" s="1"/>
  <c r="I226" i="1"/>
  <c r="H229" i="1"/>
  <c r="BI232" i="1"/>
  <c r="AC232" i="1" s="1"/>
  <c r="BH236" i="1"/>
  <c r="AB236" i="1" s="1"/>
  <c r="AX238" i="1"/>
  <c r="BI238" i="1"/>
  <c r="AC238" i="1" s="1"/>
  <c r="I238" i="1"/>
  <c r="BI239" i="1"/>
  <c r="AC239" i="1" s="1"/>
  <c r="I242" i="1"/>
  <c r="H243" i="1"/>
  <c r="AX244" i="1"/>
  <c r="BC244" i="1" s="1"/>
  <c r="I244" i="1"/>
  <c r="J245" i="1"/>
  <c r="L41" i="2" s="1"/>
  <c r="N41" i="2" s="1"/>
  <c r="J249" i="1"/>
  <c r="L43" i="2" s="1"/>
  <c r="H253" i="1"/>
  <c r="I253" i="1"/>
  <c r="AX253" i="1"/>
  <c r="H261" i="1"/>
  <c r="AW261" i="1"/>
  <c r="AS262" i="1"/>
  <c r="I274" i="1"/>
  <c r="BI274" i="1"/>
  <c r="AC274" i="1" s="1"/>
  <c r="BH274" i="1"/>
  <c r="AB274" i="1" s="1"/>
  <c r="AV276" i="1"/>
  <c r="BC279" i="1"/>
  <c r="AV279" i="1"/>
  <c r="H281" i="1"/>
  <c r="I281" i="1"/>
  <c r="AX281" i="1"/>
  <c r="BI281" i="1"/>
  <c r="AC281" i="1" s="1"/>
  <c r="AV282" i="1"/>
  <c r="BC282" i="1"/>
  <c r="BC284" i="1"/>
  <c r="BI302" i="1"/>
  <c r="AC302" i="1" s="1"/>
  <c r="I302" i="1"/>
  <c r="AX302" i="1"/>
  <c r="AV302" i="1" s="1"/>
  <c r="AV304" i="1"/>
  <c r="I306" i="1"/>
  <c r="BC311" i="1"/>
  <c r="AV311" i="1"/>
  <c r="H313" i="1"/>
  <c r="I313" i="1"/>
  <c r="AX313" i="1"/>
  <c r="BI313" i="1"/>
  <c r="AC313" i="1" s="1"/>
  <c r="AV314" i="1"/>
  <c r="J328" i="1"/>
  <c r="L48" i="2" s="1"/>
  <c r="N48" i="2" s="1"/>
  <c r="AL329" i="1"/>
  <c r="AU328" i="1" s="1"/>
  <c r="AX335" i="1"/>
  <c r="AV335" i="1" s="1"/>
  <c r="BI335" i="1"/>
  <c r="AC335" i="1" s="1"/>
  <c r="I335" i="1"/>
  <c r="H338" i="1"/>
  <c r="BH338" i="1"/>
  <c r="AB338" i="1" s="1"/>
  <c r="AW338" i="1"/>
  <c r="AX351" i="1"/>
  <c r="BI351" i="1"/>
  <c r="AC351" i="1" s="1"/>
  <c r="I351" i="1"/>
  <c r="H354" i="1"/>
  <c r="BH354" i="1"/>
  <c r="AB354" i="1" s="1"/>
  <c r="AW354" i="1"/>
  <c r="BC370" i="1"/>
  <c r="AV370" i="1"/>
  <c r="AV371" i="1"/>
  <c r="I376" i="1"/>
  <c r="BI376" i="1"/>
  <c r="AC376" i="1" s="1"/>
  <c r="AX376" i="1"/>
  <c r="AV376" i="1" s="1"/>
  <c r="I377" i="1"/>
  <c r="BI377" i="1"/>
  <c r="AC377" i="1" s="1"/>
  <c r="H378" i="1"/>
  <c r="BH378" i="1"/>
  <c r="AB378" i="1" s="1"/>
  <c r="AW378" i="1"/>
  <c r="AS379" i="1"/>
  <c r="BH396" i="1"/>
  <c r="AB396" i="1" s="1"/>
  <c r="AW396" i="1"/>
  <c r="H396" i="1"/>
  <c r="I398" i="1"/>
  <c r="BI398" i="1"/>
  <c r="AC398" i="1" s="1"/>
  <c r="AX398" i="1"/>
  <c r="AV398" i="1" s="1"/>
  <c r="BI407" i="1"/>
  <c r="AC407" i="1" s="1"/>
  <c r="I407" i="1"/>
  <c r="AX407" i="1"/>
  <c r="AV407" i="1" s="1"/>
  <c r="AS212" i="1"/>
  <c r="BC237" i="1"/>
  <c r="AV237" i="1"/>
  <c r="AW246" i="1"/>
  <c r="H246" i="1"/>
  <c r="H247" i="1"/>
  <c r="BH247" i="1"/>
  <c r="AB247" i="1" s="1"/>
  <c r="AX252" i="1"/>
  <c r="BI252" i="1"/>
  <c r="AC252" i="1" s="1"/>
  <c r="I252" i="1"/>
  <c r="AV254" i="1"/>
  <c r="AW260" i="1"/>
  <c r="H260" i="1"/>
  <c r="AV265" i="1"/>
  <c r="AW267" i="1"/>
  <c r="H267" i="1"/>
  <c r="AV272" i="1"/>
  <c r="AS273" i="1"/>
  <c r="H278" i="1"/>
  <c r="AW278" i="1"/>
  <c r="BI290" i="1"/>
  <c r="AC290" i="1" s="1"/>
  <c r="BH291" i="1"/>
  <c r="AB291" i="1" s="1"/>
  <c r="AW291" i="1"/>
  <c r="H291" i="1"/>
  <c r="I293" i="1"/>
  <c r="BI293" i="1"/>
  <c r="AC293" i="1" s="1"/>
  <c r="AX293" i="1"/>
  <c r="AV293" i="1" s="1"/>
  <c r="AW297" i="1"/>
  <c r="BH297" i="1"/>
  <c r="AB297" i="1" s="1"/>
  <c r="AW301" i="1"/>
  <c r="H301" i="1"/>
  <c r="H310" i="1"/>
  <c r="AW310" i="1"/>
  <c r="BH317" i="1"/>
  <c r="AB317" i="1" s="1"/>
  <c r="BI322" i="1"/>
  <c r="AC322" i="1" s="1"/>
  <c r="BH323" i="1"/>
  <c r="AB323" i="1" s="1"/>
  <c r="AW323" i="1"/>
  <c r="H323" i="1"/>
  <c r="I325" i="1"/>
  <c r="BI325" i="1"/>
  <c r="AC325" i="1" s="1"/>
  <c r="AX325" i="1"/>
  <c r="BH326" i="1"/>
  <c r="AB326" i="1" s="1"/>
  <c r="BC327" i="1"/>
  <c r="AV327" i="1"/>
  <c r="H337" i="1"/>
  <c r="AW337" i="1"/>
  <c r="BH337" i="1"/>
  <c r="AB337" i="1" s="1"/>
  <c r="AW344" i="1"/>
  <c r="H344" i="1"/>
  <c r="BH344" i="1"/>
  <c r="AB344" i="1" s="1"/>
  <c r="H353" i="1"/>
  <c r="AW353" i="1"/>
  <c r="BH353" i="1"/>
  <c r="AB353" i="1" s="1"/>
  <c r="BC375" i="1"/>
  <c r="AV375" i="1"/>
  <c r="AX377" i="1"/>
  <c r="BI384" i="1"/>
  <c r="AC384" i="1" s="1"/>
  <c r="BH385" i="1"/>
  <c r="AB385" i="1" s="1"/>
  <c r="AW385" i="1"/>
  <c r="H385" i="1"/>
  <c r="I387" i="1"/>
  <c r="BI387" i="1"/>
  <c r="AC387" i="1" s="1"/>
  <c r="AX387" i="1"/>
  <c r="AV387" i="1" s="1"/>
  <c r="BC389" i="1"/>
  <c r="AV389" i="1"/>
  <c r="AX395" i="1"/>
  <c r="I395" i="1"/>
  <c r="AW402" i="1"/>
  <c r="BH402" i="1"/>
  <c r="AB402" i="1" s="1"/>
  <c r="AV403" i="1"/>
  <c r="BC403" i="1"/>
  <c r="BI333" i="1"/>
  <c r="AC333" i="1" s="1"/>
  <c r="BH334" i="1"/>
  <c r="AB334" i="1" s="1"/>
  <c r="AW334" i="1"/>
  <c r="H334" i="1"/>
  <c r="I336" i="1"/>
  <c r="BI336" i="1"/>
  <c r="AC336" i="1" s="1"/>
  <c r="AX336" i="1"/>
  <c r="AV336" i="1" s="1"/>
  <c r="AW340" i="1"/>
  <c r="BH340" i="1"/>
  <c r="AB340" i="1" s="1"/>
  <c r="BI349" i="1"/>
  <c r="AC349" i="1" s="1"/>
  <c r="BH350" i="1"/>
  <c r="AB350" i="1" s="1"/>
  <c r="AW350" i="1"/>
  <c r="H350" i="1"/>
  <c r="I352" i="1"/>
  <c r="BI352" i="1"/>
  <c r="AC352" i="1" s="1"/>
  <c r="AX352" i="1"/>
  <c r="AW356" i="1"/>
  <c r="BH356" i="1"/>
  <c r="AB356" i="1" s="1"/>
  <c r="AX361" i="1"/>
  <c r="AV361" i="1" s="1"/>
  <c r="I361" i="1"/>
  <c r="H363" i="1"/>
  <c r="AW363" i="1"/>
  <c r="BH363" i="1"/>
  <c r="AB363" i="1" s="1"/>
  <c r="AW366" i="1"/>
  <c r="BH366" i="1"/>
  <c r="AB366" i="1" s="1"/>
  <c r="H366" i="1"/>
  <c r="H373" i="1"/>
  <c r="BH373" i="1"/>
  <c r="AB373" i="1" s="1"/>
  <c r="AW373" i="1"/>
  <c r="AL377" i="1"/>
  <c r="AU369" i="1" s="1"/>
  <c r="J369" i="1"/>
  <c r="L51" i="2" s="1"/>
  <c r="N51" i="2" s="1"/>
  <c r="BI380" i="1"/>
  <c r="AC380" i="1" s="1"/>
  <c r="I380" i="1"/>
  <c r="AX380" i="1"/>
  <c r="AT391" i="1"/>
  <c r="BI411" i="1"/>
  <c r="AC411" i="1" s="1"/>
  <c r="BH412" i="1"/>
  <c r="AB412" i="1" s="1"/>
  <c r="AW412" i="1"/>
  <c r="H412" i="1"/>
  <c r="AT439" i="1"/>
  <c r="AX443" i="1"/>
  <c r="I443" i="1"/>
  <c r="AX266" i="1"/>
  <c r="I266" i="1"/>
  <c r="AL274" i="1"/>
  <c r="AU273" i="1" s="1"/>
  <c r="J273" i="1"/>
  <c r="L47" i="2" s="1"/>
  <c r="AX280" i="1"/>
  <c r="BI280" i="1"/>
  <c r="AC280" i="1" s="1"/>
  <c r="I280" i="1"/>
  <c r="H290" i="1"/>
  <c r="BH290" i="1"/>
  <c r="AB290" i="1" s="1"/>
  <c r="AW290" i="1"/>
  <c r="AX292" i="1"/>
  <c r="AV292" i="1" s="1"/>
  <c r="BI292" i="1"/>
  <c r="AC292" i="1" s="1"/>
  <c r="I292" i="1"/>
  <c r="AX296" i="1"/>
  <c r="BI296" i="1"/>
  <c r="AC296" i="1" s="1"/>
  <c r="I296" i="1"/>
  <c r="H306" i="1"/>
  <c r="BH306" i="1"/>
  <c r="AB306" i="1" s="1"/>
  <c r="AW306" i="1"/>
  <c r="AX308" i="1"/>
  <c r="AV308" i="1" s="1"/>
  <c r="BI308" i="1"/>
  <c r="AC308" i="1" s="1"/>
  <c r="I308" i="1"/>
  <c r="BC309" i="1"/>
  <c r="AX312" i="1"/>
  <c r="BI312" i="1"/>
  <c r="AC312" i="1" s="1"/>
  <c r="I312" i="1"/>
  <c r="H322" i="1"/>
  <c r="BH322" i="1"/>
  <c r="AB322" i="1" s="1"/>
  <c r="AW322" i="1"/>
  <c r="AX324" i="1"/>
  <c r="AV324" i="1" s="1"/>
  <c r="BI324" i="1"/>
  <c r="AC324" i="1" s="1"/>
  <c r="I324" i="1"/>
  <c r="BC325" i="1"/>
  <c r="BI329" i="1"/>
  <c r="AC329" i="1" s="1"/>
  <c r="I329" i="1"/>
  <c r="AX329" i="1"/>
  <c r="AV329" i="1" s="1"/>
  <c r="I333" i="1"/>
  <c r="H340" i="1"/>
  <c r="I340" i="1"/>
  <c r="AX340" i="1"/>
  <c r="BI340" i="1"/>
  <c r="AC340" i="1" s="1"/>
  <c r="BI345" i="1"/>
  <c r="AC345" i="1" s="1"/>
  <c r="I345" i="1"/>
  <c r="AX345" i="1"/>
  <c r="AV345" i="1" s="1"/>
  <c r="I349" i="1"/>
  <c r="H356" i="1"/>
  <c r="I356" i="1"/>
  <c r="AX356" i="1"/>
  <c r="BI356" i="1"/>
  <c r="AC356" i="1" s="1"/>
  <c r="AV357" i="1"/>
  <c r="BC357" i="1"/>
  <c r="BI361" i="1"/>
  <c r="AC361" i="1" s="1"/>
  <c r="BC362" i="1"/>
  <c r="BC364" i="1"/>
  <c r="AV364" i="1"/>
  <c r="AX373" i="1"/>
  <c r="BI373" i="1"/>
  <c r="AC373" i="1" s="1"/>
  <c r="I373" i="1"/>
  <c r="BH374" i="1"/>
  <c r="AB374" i="1" s="1"/>
  <c r="AW374" i="1"/>
  <c r="I411" i="1"/>
  <c r="AX416" i="1"/>
  <c r="BI416" i="1"/>
  <c r="AC416" i="1" s="1"/>
  <c r="I416" i="1"/>
  <c r="AX421" i="1"/>
  <c r="I421" i="1"/>
  <c r="BI421" i="1"/>
  <c r="AC421" i="1" s="1"/>
  <c r="AW425" i="1"/>
  <c r="H425" i="1"/>
  <c r="BH425" i="1"/>
  <c r="AB425" i="1" s="1"/>
  <c r="AW437" i="1"/>
  <c r="H437" i="1"/>
  <c r="BH437" i="1"/>
  <c r="AB437" i="1" s="1"/>
  <c r="AX461" i="1"/>
  <c r="I461" i="1"/>
  <c r="BI461" i="1"/>
  <c r="AC461" i="1" s="1"/>
  <c r="H359" i="1"/>
  <c r="BH359" i="1"/>
  <c r="AB359" i="1" s="1"/>
  <c r="BH360" i="1"/>
  <c r="AB360" i="1" s="1"/>
  <c r="AW360" i="1"/>
  <c r="I362" i="1"/>
  <c r="BI362" i="1"/>
  <c r="AC362" i="1" s="1"/>
  <c r="I366" i="1"/>
  <c r="AX366" i="1"/>
  <c r="AX368" i="1"/>
  <c r="BI368" i="1"/>
  <c r="AG368" i="1" s="1"/>
  <c r="I368" i="1"/>
  <c r="I367" i="1" s="1"/>
  <c r="K49" i="2" s="1"/>
  <c r="AS369" i="1"/>
  <c r="H388" i="1"/>
  <c r="AW388" i="1"/>
  <c r="AS391" i="1"/>
  <c r="H399" i="1"/>
  <c r="AW399" i="1"/>
  <c r="AW406" i="1"/>
  <c r="H406" i="1"/>
  <c r="I417" i="1"/>
  <c r="AX417" i="1"/>
  <c r="BI417" i="1"/>
  <c r="AC417" i="1" s="1"/>
  <c r="BC423" i="1"/>
  <c r="AX455" i="1"/>
  <c r="I455" i="1"/>
  <c r="I16" i="3"/>
  <c r="I27" i="4"/>
  <c r="H289" i="1"/>
  <c r="H305" i="1"/>
  <c r="H321" i="1"/>
  <c r="H332" i="1"/>
  <c r="H348" i="1"/>
  <c r="AX365" i="1"/>
  <c r="BI365" i="1"/>
  <c r="AC365" i="1" s="1"/>
  <c r="I365" i="1"/>
  <c r="BI366" i="1"/>
  <c r="AC366" i="1" s="1"/>
  <c r="BI375" i="1"/>
  <c r="AC375" i="1" s="1"/>
  <c r="H377" i="1"/>
  <c r="AW377" i="1"/>
  <c r="AW383" i="1"/>
  <c r="H383" i="1"/>
  <c r="H384" i="1"/>
  <c r="BH384" i="1"/>
  <c r="AB384" i="1" s="1"/>
  <c r="AW384" i="1"/>
  <c r="AX386" i="1"/>
  <c r="AV386" i="1" s="1"/>
  <c r="BI386" i="1"/>
  <c r="AC386" i="1" s="1"/>
  <c r="I386" i="1"/>
  <c r="BC387" i="1"/>
  <c r="AX390" i="1"/>
  <c r="BI390" i="1"/>
  <c r="AC390" i="1" s="1"/>
  <c r="I390" i="1"/>
  <c r="AL394" i="1"/>
  <c r="AU391" i="1" s="1"/>
  <c r="J391" i="1"/>
  <c r="L53" i="2" s="1"/>
  <c r="N53" i="2" s="1"/>
  <c r="H395" i="1"/>
  <c r="BH395" i="1"/>
  <c r="AB395" i="1" s="1"/>
  <c r="AW395" i="1"/>
  <c r="AX397" i="1"/>
  <c r="AV397" i="1" s="1"/>
  <c r="BI397" i="1"/>
  <c r="AC397" i="1" s="1"/>
  <c r="I397" i="1"/>
  <c r="AX401" i="1"/>
  <c r="BI401" i="1"/>
  <c r="AC401" i="1" s="1"/>
  <c r="I401" i="1"/>
  <c r="H411" i="1"/>
  <c r="BH411" i="1"/>
  <c r="AB411" i="1" s="1"/>
  <c r="AW411" i="1"/>
  <c r="BI413" i="1"/>
  <c r="AC413" i="1" s="1"/>
  <c r="AX413" i="1"/>
  <c r="AV413" i="1" s="1"/>
  <c r="I413" i="1"/>
  <c r="I414" i="1"/>
  <c r="BI414" i="1"/>
  <c r="AC414" i="1" s="1"/>
  <c r="H415" i="1"/>
  <c r="BH415" i="1"/>
  <c r="AB415" i="1" s="1"/>
  <c r="AW415" i="1"/>
  <c r="BC449" i="1"/>
  <c r="AX451" i="1"/>
  <c r="I451" i="1"/>
  <c r="AW429" i="1"/>
  <c r="H429" i="1"/>
  <c r="BH429" i="1"/>
  <c r="AB429" i="1" s="1"/>
  <c r="AS439" i="1"/>
  <c r="BC450" i="1"/>
  <c r="BH457" i="1"/>
  <c r="AB457" i="1" s="1"/>
  <c r="AW457" i="1"/>
  <c r="H457" i="1"/>
  <c r="AW462" i="1"/>
  <c r="H462" i="1"/>
  <c r="BH462" i="1"/>
  <c r="AB462" i="1" s="1"/>
  <c r="F16" i="3"/>
  <c r="F22" i="3" s="1"/>
  <c r="I18" i="4"/>
  <c r="H394" i="1"/>
  <c r="H410" i="1"/>
  <c r="H414" i="1"/>
  <c r="AW414" i="1"/>
  <c r="AW417" i="1"/>
  <c r="BH417" i="1"/>
  <c r="AB417" i="1" s="1"/>
  <c r="AV420" i="1"/>
  <c r="BI420" i="1"/>
  <c r="AC420" i="1" s="1"/>
  <c r="AW422" i="1"/>
  <c r="H422" i="1"/>
  <c r="AS424" i="1"/>
  <c r="AX428" i="1"/>
  <c r="I428" i="1"/>
  <c r="BI428" i="1"/>
  <c r="AC428" i="1" s="1"/>
  <c r="AW433" i="1"/>
  <c r="H433" i="1"/>
  <c r="BH433" i="1"/>
  <c r="AB433" i="1" s="1"/>
  <c r="AL440" i="1"/>
  <c r="AU439" i="1" s="1"/>
  <c r="J439" i="1"/>
  <c r="L55" i="2" s="1"/>
  <c r="N55" i="2" s="1"/>
  <c r="I422" i="1"/>
  <c r="BI422" i="1"/>
  <c r="AC422" i="1" s="1"/>
  <c r="AL425" i="1"/>
  <c r="AU424" i="1" s="1"/>
  <c r="J424" i="1"/>
  <c r="L54" i="2" s="1"/>
  <c r="N54" i="2" s="1"/>
  <c r="AV430" i="1"/>
  <c r="AX432" i="1"/>
  <c r="I432" i="1"/>
  <c r="BI432" i="1"/>
  <c r="AC432" i="1" s="1"/>
  <c r="BC434" i="1"/>
  <c r="AX436" i="1"/>
  <c r="I436" i="1"/>
  <c r="BI436" i="1"/>
  <c r="AC436" i="1" s="1"/>
  <c r="AW440" i="1"/>
  <c r="H440" i="1"/>
  <c r="AW444" i="1"/>
  <c r="H444" i="1"/>
  <c r="AW448" i="1"/>
  <c r="H448" i="1"/>
  <c r="AW452" i="1"/>
  <c r="H452" i="1"/>
  <c r="AW456" i="1"/>
  <c r="H456" i="1"/>
  <c r="BH423" i="1"/>
  <c r="AB423" i="1" s="1"/>
  <c r="BI425" i="1"/>
  <c r="AC425" i="1" s="1"/>
  <c r="BH426" i="1"/>
  <c r="AB426" i="1" s="1"/>
  <c r="BI429" i="1"/>
  <c r="AC429" i="1" s="1"/>
  <c r="BH430" i="1"/>
  <c r="AB430" i="1" s="1"/>
  <c r="BI433" i="1"/>
  <c r="AC433" i="1" s="1"/>
  <c r="BH434" i="1"/>
  <c r="AB434" i="1" s="1"/>
  <c r="BI437" i="1"/>
  <c r="AC437" i="1" s="1"/>
  <c r="BH438" i="1"/>
  <c r="AB438" i="1" s="1"/>
  <c r="BI440" i="1"/>
  <c r="AC440" i="1" s="1"/>
  <c r="BH441" i="1"/>
  <c r="AB441" i="1" s="1"/>
  <c r="BI444" i="1"/>
  <c r="AC444" i="1" s="1"/>
  <c r="BH445" i="1"/>
  <c r="AB445" i="1" s="1"/>
  <c r="BI448" i="1"/>
  <c r="AC448" i="1" s="1"/>
  <c r="BH449" i="1"/>
  <c r="AB449" i="1" s="1"/>
  <c r="BI452" i="1"/>
  <c r="AC452" i="1" s="1"/>
  <c r="BH453" i="1"/>
  <c r="AB453" i="1" s="1"/>
  <c r="BI456" i="1"/>
  <c r="AC456" i="1" s="1"/>
  <c r="AV459" i="1"/>
  <c r="BC459" i="1"/>
  <c r="AV467" i="1"/>
  <c r="AW421" i="1"/>
  <c r="AX431" i="1"/>
  <c r="BC431" i="1" s="1"/>
  <c r="AW432" i="1"/>
  <c r="AX435" i="1"/>
  <c r="AW436" i="1"/>
  <c r="AX442" i="1"/>
  <c r="AV442" i="1" s="1"/>
  <c r="AW443" i="1"/>
  <c r="AX446" i="1"/>
  <c r="AV446" i="1" s="1"/>
  <c r="AW447" i="1"/>
  <c r="AX450" i="1"/>
  <c r="AV450" i="1" s="1"/>
  <c r="AW451" i="1"/>
  <c r="AX454" i="1"/>
  <c r="AW455" i="1"/>
  <c r="AW458" i="1"/>
  <c r="H458" i="1"/>
  <c r="AX462" i="1"/>
  <c r="AX465" i="1"/>
  <c r="I465" i="1"/>
  <c r="AW466" i="1"/>
  <c r="H466" i="1"/>
  <c r="AX469" i="1"/>
  <c r="I469" i="1"/>
  <c r="AX457" i="1"/>
  <c r="BI462" i="1"/>
  <c r="AC462" i="1" s="1"/>
  <c r="AW463" i="1"/>
  <c r="BH463" i="1"/>
  <c r="AB463" i="1" s="1"/>
  <c r="AX472" i="1"/>
  <c r="I472" i="1"/>
  <c r="I470" i="1" s="1"/>
  <c r="K56" i="2" s="1"/>
  <c r="I22" i="3"/>
  <c r="AX460" i="1"/>
  <c r="BC460" i="1" s="1"/>
  <c r="AW461" i="1"/>
  <c r="AX464" i="1"/>
  <c r="AV464" i="1" s="1"/>
  <c r="AW465" i="1"/>
  <c r="BC380" i="1" l="1"/>
  <c r="AV381" i="1"/>
  <c r="BC467" i="1"/>
  <c r="BC75" i="1"/>
  <c r="BC149" i="1"/>
  <c r="BC346" i="1"/>
  <c r="BC121" i="1"/>
  <c r="H189" i="1"/>
  <c r="J36" i="2" s="1"/>
  <c r="I164" i="1"/>
  <c r="K33" i="2" s="1"/>
  <c r="BC426" i="1"/>
  <c r="BC348" i="1"/>
  <c r="BC318" i="1"/>
  <c r="AV226" i="1"/>
  <c r="AV65" i="1"/>
  <c r="AV331" i="1"/>
  <c r="BC287" i="1"/>
  <c r="BC398" i="1"/>
  <c r="BC134" i="1"/>
  <c r="AV341" i="1"/>
  <c r="BC46" i="1"/>
  <c r="BC80" i="1"/>
  <c r="AV80" i="1"/>
  <c r="AV325" i="1"/>
  <c r="H249" i="1"/>
  <c r="J43" i="2" s="1"/>
  <c r="AV438" i="1"/>
  <c r="BC376" i="1"/>
  <c r="BC335" i="1"/>
  <c r="AV352" i="1"/>
  <c r="AV157" i="1"/>
  <c r="AV114" i="1"/>
  <c r="H44" i="1"/>
  <c r="J18" i="2" s="1"/>
  <c r="BC29" i="1"/>
  <c r="H15" i="1"/>
  <c r="J12" i="2" s="1"/>
  <c r="BC321" i="1"/>
  <c r="BC153" i="1"/>
  <c r="BC57" i="1"/>
  <c r="AV31" i="1"/>
  <c r="I148" i="1"/>
  <c r="K31" i="2" s="1"/>
  <c r="BC39" i="1"/>
  <c r="I127" i="1"/>
  <c r="K25" i="2" s="1"/>
  <c r="AV86" i="1"/>
  <c r="H139" i="1"/>
  <c r="J29" i="2" s="1"/>
  <c r="BC114" i="1"/>
  <c r="BC298" i="1"/>
  <c r="AV195" i="1"/>
  <c r="BC179" i="1"/>
  <c r="BC66" i="1"/>
  <c r="AV418" i="1"/>
  <c r="BC351" i="1"/>
  <c r="BC272" i="1"/>
  <c r="AV269" i="1"/>
  <c r="I257" i="1"/>
  <c r="K44" i="2" s="1"/>
  <c r="BC198" i="1"/>
  <c r="AV198" i="1"/>
  <c r="BC382" i="1"/>
  <c r="AV382" i="1"/>
  <c r="AV454" i="1"/>
  <c r="AV435" i="1"/>
  <c r="I249" i="1"/>
  <c r="K43" i="2" s="1"/>
  <c r="BC404" i="1"/>
  <c r="BC342" i="1"/>
  <c r="AV441" i="1"/>
  <c r="AV380" i="1"/>
  <c r="BC41" i="1"/>
  <c r="AV41" i="1"/>
  <c r="BC405" i="1"/>
  <c r="I439" i="1"/>
  <c r="K55" i="2" s="1"/>
  <c r="BC293" i="1"/>
  <c r="BC316" i="1"/>
  <c r="BC45" i="1"/>
  <c r="AV431" i="1"/>
  <c r="I369" i="1"/>
  <c r="K51" i="2" s="1"/>
  <c r="AV468" i="1"/>
  <c r="BC302" i="1"/>
  <c r="I159" i="1"/>
  <c r="K32" i="2" s="1"/>
  <c r="BC33" i="1"/>
  <c r="AV205" i="1"/>
  <c r="I231" i="1"/>
  <c r="K40" i="2" s="1"/>
  <c r="BC155" i="1"/>
  <c r="AV98" i="1"/>
  <c r="BC409" i="1"/>
  <c r="BC119" i="1"/>
  <c r="BC223" i="1"/>
  <c r="BC47" i="1"/>
  <c r="AV47" i="1"/>
  <c r="AV91" i="1"/>
  <c r="BC91" i="1"/>
  <c r="BC392" i="1"/>
  <c r="AV392" i="1"/>
  <c r="N47" i="2"/>
  <c r="L50" i="2"/>
  <c r="AV343" i="1"/>
  <c r="BC343" i="1"/>
  <c r="BC147" i="1"/>
  <c r="AV147" i="1"/>
  <c r="BC435" i="1"/>
  <c r="BC442" i="1"/>
  <c r="I391" i="1"/>
  <c r="K53" i="2" s="1"/>
  <c r="BC441" i="1"/>
  <c r="I379" i="1"/>
  <c r="K52" i="2" s="1"/>
  <c r="H262" i="1"/>
  <c r="J45" i="2" s="1"/>
  <c r="AV221" i="1"/>
  <c r="N35" i="2"/>
  <c r="L38" i="2"/>
  <c r="C16" i="3"/>
  <c r="BC194" i="1"/>
  <c r="BC152" i="1"/>
  <c r="I139" i="1"/>
  <c r="K29" i="2" s="1"/>
  <c r="I202" i="1"/>
  <c r="K37" i="2" s="1"/>
  <c r="H173" i="1"/>
  <c r="J35" i="2" s="1"/>
  <c r="BC92" i="1"/>
  <c r="H24" i="1"/>
  <c r="J14" i="2" s="1"/>
  <c r="BC247" i="1"/>
  <c r="AV74" i="1"/>
  <c r="H470" i="1"/>
  <c r="J56" i="2" s="1"/>
  <c r="BC269" i="1"/>
  <c r="BC197" i="1"/>
  <c r="AV197" i="1"/>
  <c r="BC208" i="1"/>
  <c r="AV208" i="1"/>
  <c r="AV158" i="1"/>
  <c r="BC158" i="1"/>
  <c r="BC283" i="1"/>
  <c r="AV283" i="1"/>
  <c r="AV51" i="1"/>
  <c r="AV168" i="1"/>
  <c r="BC168" i="1"/>
  <c r="BC305" i="1"/>
  <c r="AV305" i="1"/>
  <c r="BC216" i="1"/>
  <c r="AV216" i="1"/>
  <c r="BC427" i="1"/>
  <c r="AV427" i="1"/>
  <c r="BC330" i="1"/>
  <c r="AV330" i="1"/>
  <c r="BC248" i="1"/>
  <c r="BC413" i="1"/>
  <c r="H328" i="1"/>
  <c r="J48" i="2" s="1"/>
  <c r="BC453" i="1"/>
  <c r="BC418" i="1"/>
  <c r="BC341" i="1"/>
  <c r="BC329" i="1"/>
  <c r="AV404" i="1"/>
  <c r="AV217" i="1"/>
  <c r="H231" i="1"/>
  <c r="J40" i="2" s="1"/>
  <c r="C19" i="3"/>
  <c r="AV183" i="1"/>
  <c r="BC176" i="1"/>
  <c r="H148" i="1"/>
  <c r="J31" i="2" s="1"/>
  <c r="I24" i="1"/>
  <c r="K14" i="2" s="1"/>
  <c r="H68" i="1"/>
  <c r="J21" i="2" s="1"/>
  <c r="N39" i="2"/>
  <c r="L42" i="2"/>
  <c r="AV223" i="1"/>
  <c r="H164" i="1"/>
  <c r="J33" i="2" s="1"/>
  <c r="I93" i="1"/>
  <c r="K23" i="2" s="1"/>
  <c r="AV39" i="1"/>
  <c r="BC28" i="1"/>
  <c r="AV149" i="1"/>
  <c r="L57" i="2"/>
  <c r="BC394" i="1"/>
  <c r="AV394" i="1"/>
  <c r="BC178" i="1"/>
  <c r="AV178" i="1"/>
  <c r="AV227" i="1"/>
  <c r="BC172" i="1"/>
  <c r="AV172" i="1"/>
  <c r="AV77" i="1"/>
  <c r="AV62" i="1"/>
  <c r="BC136" i="1"/>
  <c r="AV94" i="1"/>
  <c r="BC94" i="1"/>
  <c r="I424" i="1"/>
  <c r="K54" i="2" s="1"/>
  <c r="H391" i="1"/>
  <c r="J53" i="2" s="1"/>
  <c r="BC277" i="1"/>
  <c r="BC332" i="1"/>
  <c r="AV351" i="1"/>
  <c r="N43" i="2"/>
  <c r="L46" i="2"/>
  <c r="BC345" i="1"/>
  <c r="C17" i="3"/>
  <c r="I173" i="1"/>
  <c r="K35" i="2" s="1"/>
  <c r="H93" i="1"/>
  <c r="J23" i="2" s="1"/>
  <c r="I130" i="1"/>
  <c r="K26" i="2" s="1"/>
  <c r="AV134" i="1"/>
  <c r="C14" i="3"/>
  <c r="C18" i="3"/>
  <c r="BC419" i="1"/>
  <c r="BC393" i="1"/>
  <c r="AV393" i="1"/>
  <c r="BC174" i="1"/>
  <c r="AV174" i="1"/>
  <c r="AV224" i="1"/>
  <c r="BC224" i="1"/>
  <c r="BC167" i="1"/>
  <c r="BC319" i="1"/>
  <c r="AV319" i="1"/>
  <c r="BC20" i="1"/>
  <c r="BC471" i="1"/>
  <c r="AV471" i="1"/>
  <c r="AV443" i="1"/>
  <c r="BC443" i="1"/>
  <c r="AV406" i="1"/>
  <c r="BC406" i="1"/>
  <c r="H424" i="1"/>
  <c r="J54" i="2" s="1"/>
  <c r="BC412" i="1"/>
  <c r="AV412" i="1"/>
  <c r="AV181" i="1"/>
  <c r="BC181" i="1"/>
  <c r="BC40" i="1"/>
  <c r="AV40" i="1"/>
  <c r="AV89" i="1"/>
  <c r="BC89" i="1"/>
  <c r="BC239" i="1"/>
  <c r="AV239" i="1"/>
  <c r="H61" i="1"/>
  <c r="J20" i="2" s="1"/>
  <c r="C15" i="3"/>
  <c r="AV465" i="1"/>
  <c r="BC465" i="1"/>
  <c r="AV463" i="1"/>
  <c r="BC463" i="1"/>
  <c r="AV469" i="1"/>
  <c r="BC469" i="1"/>
  <c r="AV458" i="1"/>
  <c r="BC458" i="1"/>
  <c r="AV452" i="1"/>
  <c r="BC452" i="1"/>
  <c r="AV444" i="1"/>
  <c r="BC444" i="1"/>
  <c r="AV433" i="1"/>
  <c r="BC433" i="1"/>
  <c r="F29" i="4"/>
  <c r="AV462" i="1"/>
  <c r="BC462" i="1"/>
  <c r="BC454" i="1"/>
  <c r="AV429" i="1"/>
  <c r="BC429" i="1"/>
  <c r="AV401" i="1"/>
  <c r="BC401" i="1"/>
  <c r="AV390" i="1"/>
  <c r="BC390" i="1"/>
  <c r="H379" i="1"/>
  <c r="J52" i="2" s="1"/>
  <c r="BC407" i="1"/>
  <c r="AV399" i="1"/>
  <c r="BC399" i="1"/>
  <c r="AV368" i="1"/>
  <c r="BC368" i="1"/>
  <c r="AV425" i="1"/>
  <c r="BC425" i="1"/>
  <c r="BC374" i="1"/>
  <c r="AV374" i="1"/>
  <c r="AV312" i="1"/>
  <c r="BC312" i="1"/>
  <c r="AV280" i="1"/>
  <c r="BC280" i="1"/>
  <c r="AV363" i="1"/>
  <c r="BC363" i="1"/>
  <c r="BC334" i="1"/>
  <c r="AV334" i="1"/>
  <c r="BC385" i="1"/>
  <c r="AV385" i="1"/>
  <c r="AV353" i="1"/>
  <c r="BC353" i="1"/>
  <c r="AV344" i="1"/>
  <c r="BC344" i="1"/>
  <c r="AV301" i="1"/>
  <c r="BC301" i="1"/>
  <c r="AV267" i="1"/>
  <c r="BC267" i="1"/>
  <c r="H257" i="1"/>
  <c r="J44" i="2" s="1"/>
  <c r="H245" i="1"/>
  <c r="J41" i="2" s="1"/>
  <c r="AV261" i="1"/>
  <c r="BC261" i="1"/>
  <c r="H212" i="1"/>
  <c r="J39" i="2" s="1"/>
  <c r="H369" i="1"/>
  <c r="J51" i="2" s="1"/>
  <c r="AV313" i="1"/>
  <c r="BC313" i="1"/>
  <c r="AV294" i="1"/>
  <c r="BC294" i="1"/>
  <c r="AV274" i="1"/>
  <c r="BC274" i="1"/>
  <c r="I262" i="1"/>
  <c r="K45" i="2" s="1"/>
  <c r="AV250" i="1"/>
  <c r="BC250" i="1"/>
  <c r="AV211" i="1"/>
  <c r="BC211" i="1"/>
  <c r="BC324" i="1"/>
  <c r="AV230" i="1"/>
  <c r="BC230" i="1"/>
  <c r="AV192" i="1"/>
  <c r="BC192" i="1"/>
  <c r="I189" i="1"/>
  <c r="K36" i="2" s="1"/>
  <c r="BC188" i="1"/>
  <c r="AV188" i="1"/>
  <c r="AV126" i="1"/>
  <c r="BC126" i="1"/>
  <c r="BC113" i="1"/>
  <c r="AV113" i="1"/>
  <c r="AV69" i="1"/>
  <c r="BC69" i="1"/>
  <c r="I61" i="1"/>
  <c r="K20" i="2" s="1"/>
  <c r="AV103" i="1"/>
  <c r="AV264" i="1"/>
  <c r="BC264" i="1"/>
  <c r="BC219" i="1"/>
  <c r="AV219" i="1"/>
  <c r="BC182" i="1"/>
  <c r="AV182" i="1"/>
  <c r="BC99" i="1"/>
  <c r="AV99" i="1"/>
  <c r="AV73" i="1"/>
  <c r="BC232" i="1"/>
  <c r="I212" i="1"/>
  <c r="K39" i="2" s="1"/>
  <c r="BC199" i="1"/>
  <c r="AV199" i="1"/>
  <c r="BC186" i="1"/>
  <c r="AV186" i="1"/>
  <c r="AV163" i="1"/>
  <c r="BC163" i="1"/>
  <c r="BC151" i="1"/>
  <c r="AV151" i="1"/>
  <c r="BC109" i="1"/>
  <c r="AV109" i="1"/>
  <c r="AV63" i="1"/>
  <c r="BC63" i="1"/>
  <c r="AV49" i="1"/>
  <c r="BC49" i="1"/>
  <c r="AV165" i="1"/>
  <c r="I133" i="1"/>
  <c r="K27" i="2" s="1"/>
  <c r="BC128" i="1"/>
  <c r="AV203" i="1"/>
  <c r="BC203" i="1"/>
  <c r="BC292" i="1"/>
  <c r="BC187" i="1"/>
  <c r="AV187" i="1"/>
  <c r="AV170" i="1"/>
  <c r="BC170" i="1"/>
  <c r="BC90" i="1"/>
  <c r="AV90" i="1"/>
  <c r="BC70" i="1"/>
  <c r="BC135" i="1"/>
  <c r="AV135" i="1"/>
  <c r="BC55" i="1"/>
  <c r="AV432" i="1"/>
  <c r="BC432" i="1"/>
  <c r="AV428" i="1"/>
  <c r="BC428" i="1"/>
  <c r="AV414" i="1"/>
  <c r="BC414" i="1"/>
  <c r="BC323" i="1"/>
  <c r="AV323" i="1"/>
  <c r="BC291" i="1"/>
  <c r="AV291" i="1"/>
  <c r="BC338" i="1"/>
  <c r="AV338" i="1"/>
  <c r="AV238" i="1"/>
  <c r="BC238" i="1"/>
  <c r="H273" i="1"/>
  <c r="J47" i="2" s="1"/>
  <c r="BC83" i="1"/>
  <c r="AV83" i="1"/>
  <c r="AV59" i="1"/>
  <c r="BC34" i="1"/>
  <c r="AV34" i="1"/>
  <c r="AV132" i="1"/>
  <c r="BC132" i="1"/>
  <c r="BC79" i="1"/>
  <c r="AV79" i="1"/>
  <c r="AV180" i="1"/>
  <c r="BC180" i="1"/>
  <c r="AV455" i="1"/>
  <c r="BC455" i="1"/>
  <c r="AV436" i="1"/>
  <c r="BC436" i="1"/>
  <c r="H439" i="1"/>
  <c r="J55" i="2" s="1"/>
  <c r="AV384" i="1"/>
  <c r="BC384" i="1"/>
  <c r="BC383" i="1"/>
  <c r="AV383" i="1"/>
  <c r="BC365" i="1"/>
  <c r="AV365" i="1"/>
  <c r="I328" i="1"/>
  <c r="K48" i="2" s="1"/>
  <c r="AV306" i="1"/>
  <c r="BC306" i="1"/>
  <c r="AV266" i="1"/>
  <c r="BC266" i="1"/>
  <c r="AV373" i="1"/>
  <c r="BC373" i="1"/>
  <c r="AV356" i="1"/>
  <c r="BC356" i="1"/>
  <c r="BC260" i="1"/>
  <c r="AV260" i="1"/>
  <c r="BC252" i="1"/>
  <c r="AV252" i="1"/>
  <c r="BC246" i="1"/>
  <c r="AV246" i="1"/>
  <c r="BC378" i="1"/>
  <c r="AV378" i="1"/>
  <c r="BC354" i="1"/>
  <c r="AV354" i="1"/>
  <c r="I273" i="1"/>
  <c r="K47" i="2" s="1"/>
  <c r="BC201" i="1"/>
  <c r="AV201" i="1"/>
  <c r="AV372" i="1"/>
  <c r="BC372" i="1"/>
  <c r="BC336" i="1"/>
  <c r="AV326" i="1"/>
  <c r="BC326" i="1"/>
  <c r="BC307" i="1"/>
  <c r="AV307" i="1"/>
  <c r="AV285" i="1"/>
  <c r="BC285" i="1"/>
  <c r="AV256" i="1"/>
  <c r="BC256" i="1"/>
  <c r="BC234" i="1"/>
  <c r="AV234" i="1"/>
  <c r="AV185" i="1"/>
  <c r="BC185" i="1"/>
  <c r="AV124" i="1"/>
  <c r="BC124" i="1"/>
  <c r="AV104" i="1"/>
  <c r="BC104" i="1"/>
  <c r="BC102" i="1"/>
  <c r="AV102" i="1"/>
  <c r="AV96" i="1"/>
  <c r="BC96" i="1"/>
  <c r="BC171" i="1"/>
  <c r="AV171" i="1"/>
  <c r="AV115" i="1"/>
  <c r="BC115" i="1"/>
  <c r="J473" i="1"/>
  <c r="L12" i="2"/>
  <c r="BC241" i="1"/>
  <c r="AV241" i="1"/>
  <c r="AV120" i="1"/>
  <c r="AV339" i="1"/>
  <c r="BC339" i="1"/>
  <c r="AV275" i="1"/>
  <c r="BC275" i="1"/>
  <c r="BC226" i="1"/>
  <c r="BC177" i="1"/>
  <c r="BC142" i="1"/>
  <c r="BC100" i="1"/>
  <c r="AV72" i="1"/>
  <c r="BC72" i="1"/>
  <c r="BC23" i="1"/>
  <c r="AV23" i="1"/>
  <c r="I15" i="1"/>
  <c r="K12" i="2" s="1"/>
  <c r="H202" i="1"/>
  <c r="J37" i="2" s="1"/>
  <c r="BC162" i="1"/>
  <c r="AV162" i="1"/>
  <c r="H84" i="1"/>
  <c r="J22" i="2" s="1"/>
  <c r="BC386" i="1"/>
  <c r="BC235" i="1"/>
  <c r="AV235" i="1"/>
  <c r="AV191" i="1"/>
  <c r="BC191" i="1"/>
  <c r="AV145" i="1"/>
  <c r="BC145" i="1"/>
  <c r="BC18" i="1"/>
  <c r="AV451" i="1"/>
  <c r="BC451" i="1"/>
  <c r="AV388" i="1"/>
  <c r="BC388" i="1"/>
  <c r="AV322" i="1"/>
  <c r="BC322" i="1"/>
  <c r="AV290" i="1"/>
  <c r="BC290" i="1"/>
  <c r="AV340" i="1"/>
  <c r="BC340" i="1"/>
  <c r="AV402" i="1"/>
  <c r="BC402" i="1"/>
  <c r="AV310" i="1"/>
  <c r="BC310" i="1"/>
  <c r="AV281" i="1"/>
  <c r="BC281" i="1"/>
  <c r="AV253" i="1"/>
  <c r="BC253" i="1"/>
  <c r="AV214" i="1"/>
  <c r="BC214" i="1"/>
  <c r="BC217" i="1"/>
  <c r="AV166" i="1"/>
  <c r="BC166" i="1"/>
  <c r="AV56" i="1"/>
  <c r="BC56" i="1"/>
  <c r="AV349" i="1"/>
  <c r="BC349" i="1"/>
  <c r="AV218" i="1"/>
  <c r="BC218" i="1"/>
  <c r="BC464" i="1"/>
  <c r="AV447" i="1"/>
  <c r="BC447" i="1"/>
  <c r="AV421" i="1"/>
  <c r="BC421" i="1"/>
  <c r="C29" i="3"/>
  <c r="F29" i="3" s="1"/>
  <c r="AV395" i="1"/>
  <c r="BC395" i="1"/>
  <c r="BC361" i="1"/>
  <c r="AV460" i="1"/>
  <c r="AV437" i="1"/>
  <c r="BC437" i="1"/>
  <c r="BC461" i="1"/>
  <c r="AV461" i="1"/>
  <c r="BC472" i="1"/>
  <c r="AV472" i="1"/>
  <c r="AV466" i="1"/>
  <c r="BC466" i="1"/>
  <c r="AV456" i="1"/>
  <c r="BC456" i="1"/>
  <c r="AV448" i="1"/>
  <c r="BC448" i="1"/>
  <c r="AV440" i="1"/>
  <c r="BC440" i="1"/>
  <c r="AV422" i="1"/>
  <c r="BC422" i="1"/>
  <c r="BC417" i="1"/>
  <c r="AV417" i="1"/>
  <c r="AV457" i="1"/>
  <c r="BC457" i="1"/>
  <c r="BC446" i="1"/>
  <c r="BC415" i="1"/>
  <c r="AV415" i="1"/>
  <c r="AV411" i="1"/>
  <c r="BC411" i="1"/>
  <c r="AV377" i="1"/>
  <c r="BC377" i="1"/>
  <c r="BC360" i="1"/>
  <c r="AV360" i="1"/>
  <c r="AV416" i="1"/>
  <c r="BC416" i="1"/>
  <c r="AV296" i="1"/>
  <c r="BC296" i="1"/>
  <c r="BC397" i="1"/>
  <c r="AV366" i="1"/>
  <c r="BC366" i="1"/>
  <c r="BC350" i="1"/>
  <c r="AV350" i="1"/>
  <c r="AV337" i="1"/>
  <c r="BC337" i="1"/>
  <c r="AV297" i="1"/>
  <c r="BC297" i="1"/>
  <c r="AV278" i="1"/>
  <c r="BC278" i="1"/>
  <c r="AV244" i="1"/>
  <c r="BC396" i="1"/>
  <c r="AV396" i="1"/>
  <c r="BC308" i="1"/>
  <c r="BC215" i="1"/>
  <c r="AV215" i="1"/>
  <c r="BC352" i="1"/>
  <c r="AV317" i="1"/>
  <c r="BC317" i="1"/>
  <c r="AV268" i="1"/>
  <c r="BC268" i="1"/>
  <c r="BC255" i="1"/>
  <c r="AV255" i="1"/>
  <c r="AV225" i="1"/>
  <c r="BC225" i="1"/>
  <c r="BC204" i="1"/>
  <c r="AV204" i="1"/>
  <c r="AV190" i="1"/>
  <c r="BC190" i="1"/>
  <c r="BC160" i="1"/>
  <c r="AV160" i="1"/>
  <c r="BC101" i="1"/>
  <c r="AV101" i="1"/>
  <c r="AV67" i="1"/>
  <c r="BC67" i="1"/>
  <c r="BC50" i="1"/>
  <c r="AV50" i="1"/>
  <c r="AV25" i="1"/>
  <c r="BC25" i="1"/>
  <c r="AV19" i="1"/>
  <c r="BC19" i="1"/>
  <c r="AV78" i="1"/>
  <c r="BC78" i="1"/>
  <c r="AV271" i="1"/>
  <c r="BC271" i="1"/>
  <c r="BC150" i="1"/>
  <c r="AV150" i="1"/>
  <c r="I68" i="1"/>
  <c r="K21" i="2" s="1"/>
  <c r="AV333" i="1"/>
  <c r="BC333" i="1"/>
  <c r="BC270" i="1"/>
  <c r="AV270" i="1"/>
  <c r="BC220" i="1"/>
  <c r="AV220" i="1"/>
  <c r="AV206" i="1"/>
  <c r="BC206" i="1"/>
  <c r="BC129" i="1"/>
  <c r="AV129" i="1"/>
  <c r="AV108" i="1"/>
  <c r="BC108" i="1"/>
  <c r="BC97" i="1"/>
  <c r="AV97" i="1"/>
  <c r="AV85" i="1"/>
  <c r="BC85" i="1"/>
  <c r="I53" i="1"/>
  <c r="K19" i="2" s="1"/>
  <c r="AV355" i="1"/>
  <c r="BC355" i="1"/>
  <c r="AV240" i="1"/>
  <c r="BC240" i="1"/>
  <c r="I84" i="1"/>
  <c r="K22" i="2" s="1"/>
  <c r="AV233" i="1"/>
  <c r="BC233" i="1"/>
  <c r="BC118" i="1"/>
  <c r="AV118" i="1"/>
  <c r="BC52" i="1"/>
  <c r="C22" i="3" l="1"/>
  <c r="N12" i="2"/>
  <c r="L58" i="2" s="1"/>
  <c r="L34" i="2"/>
  <c r="I28" i="3"/>
  <c r="I29" i="3" s="1"/>
</calcChain>
</file>

<file path=xl/sharedStrings.xml><?xml version="1.0" encoding="utf-8"?>
<sst xmlns="http://schemas.openxmlformats.org/spreadsheetml/2006/main" count="5303" uniqueCount="1401">
  <si>
    <t>Název stavby:</t>
  </si>
  <si>
    <t>Zastřešení atria Slezské univerzity v Opavě</t>
  </si>
  <si>
    <t>Doba výstavby:</t>
  </si>
  <si>
    <t xml:space="preserve"> </t>
  </si>
  <si>
    <t>Objednatel:</t>
  </si>
  <si>
    <t>Druh stavby:</t>
  </si>
  <si>
    <t>Stavební část a profese</t>
  </si>
  <si>
    <t>Začátek výstavby:</t>
  </si>
  <si>
    <t>Projektant:</t>
  </si>
  <si>
    <t>Lokalita:</t>
  </si>
  <si>
    <t>Bezručovo náměstí 14, Opava, 746 01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</si>
  <si>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</si>
  <si>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</si>
  <si>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</si>
  <si>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</si>
  <si>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</si>
  <si>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</si>
  <si>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</si>
  <si>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</si>
  <si>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</si>
  <si>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</si>
  <si>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</si>
  <si>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</si>
  <si>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</si>
  <si>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</si>
  <si>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</si>
  <si>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</si>
  <si>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</si>
  <si>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</si>
  <si>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</si>
  <si>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</si>
  <si>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</si>
  <si>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</si>
  <si>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</si>
  <si>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</si>
  <si>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</si>
  <si>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</si>
  <si>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</si>
  <si>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</si>
  <si>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</si>
  <si>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</si>
  <si>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</si>
  <si>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</si>
  <si>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</si>
  <si>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</si>
  <si>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práce, zřízení staveniště</t>
  </si>
  <si>
    <t>1</t>
  </si>
  <si>
    <t>113106121R00</t>
  </si>
  <si>
    <t>Rozebrání dlažeb z betonových dlaždic na sucho</t>
  </si>
  <si>
    <t>m2</t>
  </si>
  <si>
    <t>11_</t>
  </si>
  <si>
    <t>1_</t>
  </si>
  <si>
    <t>_</t>
  </si>
  <si>
    <t>P</t>
  </si>
  <si>
    <t>2</t>
  </si>
  <si>
    <t>938901101R00</t>
  </si>
  <si>
    <t>Očištění dlažby z lom.kam./ bet. desek od porostu</t>
  </si>
  <si>
    <t>3</t>
  </si>
  <si>
    <t>9790-0154RV</t>
  </si>
  <si>
    <t>Pronájem mobilního WC</t>
  </si>
  <si>
    <t>den</t>
  </si>
  <si>
    <t>4</t>
  </si>
  <si>
    <t>949-235 RV</t>
  </si>
  <si>
    <t>Oplocení mobilní v.2000mm</t>
  </si>
  <si>
    <t>5</t>
  </si>
  <si>
    <t>9790-01188RV</t>
  </si>
  <si>
    <t>Pronájem skladového kontejneru</t>
  </si>
  <si>
    <t>6</t>
  </si>
  <si>
    <t>06500-1011RV</t>
  </si>
  <si>
    <t>Dovoz+odvoz zařízení staveniště</t>
  </si>
  <si>
    <t>Soubor</t>
  </si>
  <si>
    <t>31</t>
  </si>
  <si>
    <t>Zdi podpěrné a volné</t>
  </si>
  <si>
    <t>7</t>
  </si>
  <si>
    <t>317314125R00</t>
  </si>
  <si>
    <t>Podbetonování zhlaví nosníků, zdivo šířky 250 mm</t>
  </si>
  <si>
    <t>kus</t>
  </si>
  <si>
    <t>31_</t>
  </si>
  <si>
    <t>3_</t>
  </si>
  <si>
    <t>34</t>
  </si>
  <si>
    <t>Stěny a příčky</t>
  </si>
  <si>
    <t>8</t>
  </si>
  <si>
    <t>342264-25RV</t>
  </si>
  <si>
    <t>Podhled sádrokartonový, 1x ocelová konstrukce CD, bez izolace, 2x opláštěná, desky tl. 12,5 mm</t>
  </si>
  <si>
    <t>34_</t>
  </si>
  <si>
    <t>9</t>
  </si>
  <si>
    <t>3422-852RV</t>
  </si>
  <si>
    <t>Podhled akustický P.2 vč nosné konstrukce a povrchové úpravy</t>
  </si>
  <si>
    <t>10</t>
  </si>
  <si>
    <t>342267111R00</t>
  </si>
  <si>
    <t>Sádrokart.obklad odpadní trubky dvoustranný</t>
  </si>
  <si>
    <t>m</t>
  </si>
  <si>
    <t>342263513R00</t>
  </si>
  <si>
    <t>Revizní dvířka Promat do sádrokartonové příčky, 300 x 300 mm</t>
  </si>
  <si>
    <t>12</t>
  </si>
  <si>
    <t>346244-50RV</t>
  </si>
  <si>
    <t>Obezdívka odpadní trouby nad úrovní střechy 2.NP</t>
  </si>
  <si>
    <t>13</t>
  </si>
  <si>
    <t>342264101R00</t>
  </si>
  <si>
    <t>Osazení revizních  dvířek do sádrokartonového podhledu, plochy do 0,25 m2</t>
  </si>
  <si>
    <t>14</t>
  </si>
  <si>
    <t>28349014</t>
  </si>
  <si>
    <t>Dvířka revizní plná SI 3030 rozměr 300 x 300 mm</t>
  </si>
  <si>
    <t>M</t>
  </si>
  <si>
    <t>15</t>
  </si>
  <si>
    <t>342263410R00IM</t>
  </si>
  <si>
    <t>Úpravy, doplňkové práce a příplatky pro sádrokartonové a sádrovláknité příčky doplňkové práce osazení revizních dvířek plochy do 0,25 m2</t>
  </si>
  <si>
    <t>16</t>
  </si>
  <si>
    <t>553476590IM</t>
  </si>
  <si>
    <t>Dvířka revizní použití: sádrokarton; funkce: klasické; šířka = 200 mm; výška = 200 mm; materiál: hliník; počet křídel: 1</t>
  </si>
  <si>
    <t>17</t>
  </si>
  <si>
    <t>342264101R00IM</t>
  </si>
  <si>
    <t>Doplňkové práce osazení revizních dvířek do sádrokartonového podhledu, do 0,25 m2,  ,</t>
  </si>
  <si>
    <t>18</t>
  </si>
  <si>
    <t>553476658IM</t>
  </si>
  <si>
    <t>Dvířka revizní použití: sádrokarton; funkce: protipožární; šířka = 500 mm; výška = 500 mm; materiál: hliník; počet křídel: 1; požární odolnost: E, I;</t>
  </si>
  <si>
    <t>41</t>
  </si>
  <si>
    <t>Stropy a stropní konstrukce (pro pozemní stavby)</t>
  </si>
  <si>
    <t>19</t>
  </si>
  <si>
    <t>413100010RAA</t>
  </si>
  <si>
    <t>Zazdívka zhlaví válcovaných nosníků cihlami</t>
  </si>
  <si>
    <t>41_</t>
  </si>
  <si>
    <t>4_</t>
  </si>
  <si>
    <t>61</t>
  </si>
  <si>
    <t>Úprava povrchů vnitřní</t>
  </si>
  <si>
    <t>20</t>
  </si>
  <si>
    <t>612425931RT2</t>
  </si>
  <si>
    <t>Omítka vápenná vnitřního ostění - štuková</t>
  </si>
  <si>
    <t>61_</t>
  </si>
  <si>
    <t>6_</t>
  </si>
  <si>
    <t>21</t>
  </si>
  <si>
    <t>612423531R00</t>
  </si>
  <si>
    <t>Omítka rýh stěn vápenná šířky do 15 cm, štuková</t>
  </si>
  <si>
    <t>22</t>
  </si>
  <si>
    <t>612421637R00</t>
  </si>
  <si>
    <t>Omítka vnitřní zdiva, MVC, štuková</t>
  </si>
  <si>
    <t>62</t>
  </si>
  <si>
    <t>Úprava povrchů vnější</t>
  </si>
  <si>
    <t>23</t>
  </si>
  <si>
    <t>623421143R00</t>
  </si>
  <si>
    <t>Omítka vnější sloupů, s pl.rovnými, štuková sl. 4</t>
  </si>
  <si>
    <t>62_</t>
  </si>
  <si>
    <t>63</t>
  </si>
  <si>
    <t>Podlahy a podlahové konstrukce</t>
  </si>
  <si>
    <t>24</t>
  </si>
  <si>
    <t>631342823R00</t>
  </si>
  <si>
    <t>Mazanina z polystyrenbetonu tl. 8 cm, 0,5 MPa - vyrovnávací vrstva podlhy 2.NP</t>
  </si>
  <si>
    <t>m3</t>
  </si>
  <si>
    <t>63_</t>
  </si>
  <si>
    <t>25</t>
  </si>
  <si>
    <t>631591-3368RV</t>
  </si>
  <si>
    <t>Podsyp vyrovnávací granulát - pod podlahy tl. do 60 mm - podlaha 2.NP</t>
  </si>
  <si>
    <t>26</t>
  </si>
  <si>
    <t>6351110-25RV</t>
  </si>
  <si>
    <t>Podlaha ze sádrovláknitých desek, 2x sádrovlák.desky tl.12,5mm - podlaha 2.NP</t>
  </si>
  <si>
    <t>27</t>
  </si>
  <si>
    <t>635111091R00</t>
  </si>
  <si>
    <t>Vrstva z sádrovláknité desky tl.10 mm - podlaha 2.NP</t>
  </si>
  <si>
    <t>28</t>
  </si>
  <si>
    <t>632421113RT1</t>
  </si>
  <si>
    <t>Potěr samonivelační,ručně zpracovaný,tl. 3 mm - podlaha 2.NP</t>
  </si>
  <si>
    <t>29</t>
  </si>
  <si>
    <t>632922954R00</t>
  </si>
  <si>
    <t>Kladení dlaždic 60x60 cm na stavitel. terče plast.</t>
  </si>
  <si>
    <t>30</t>
  </si>
  <si>
    <t>639571215R00</t>
  </si>
  <si>
    <t>Kačírek pro okapový chodník tl. 150 mm</t>
  </si>
  <si>
    <t>631312141R00</t>
  </si>
  <si>
    <t>Doplnění rýh betonem v dosavadních mazaninách - vybourané otvory</t>
  </si>
  <si>
    <t>64</t>
  </si>
  <si>
    <t>Výplně otvorů</t>
  </si>
  <si>
    <t>32</t>
  </si>
  <si>
    <t>64-O.1</t>
  </si>
  <si>
    <t>Sestava Al okna, izolační trojsklo 3150x4504mm</t>
  </si>
  <si>
    <t>ks</t>
  </si>
  <si>
    <t>64_</t>
  </si>
  <si>
    <t>33</t>
  </si>
  <si>
    <t>64-O.2</t>
  </si>
  <si>
    <t>Sestava Al okna, izolační trojsklo 2300x6450mm</t>
  </si>
  <si>
    <t>64-O.3</t>
  </si>
  <si>
    <t>Al fixní okno, izolační trojsklo 3150x900mm</t>
  </si>
  <si>
    <t>35</t>
  </si>
  <si>
    <t>64-O.4</t>
  </si>
  <si>
    <t>Skleněná stěna vč.rolety 3140x1250mm</t>
  </si>
  <si>
    <t>36</t>
  </si>
  <si>
    <t>64-D.1</t>
  </si>
  <si>
    <t>Skleněná stěna nadsvětlík+dveře 2100x1190mm</t>
  </si>
  <si>
    <t>37</t>
  </si>
  <si>
    <t>64-D.3</t>
  </si>
  <si>
    <t>Úprava stávajících dveří - výměna zámku+kování</t>
  </si>
  <si>
    <t>38</t>
  </si>
  <si>
    <t>64-14RV</t>
  </si>
  <si>
    <t>Doprava + montáž Al oken</t>
  </si>
  <si>
    <t>soubor</t>
  </si>
  <si>
    <t>712</t>
  </si>
  <si>
    <t>Izolace střech (živičné krytiny)</t>
  </si>
  <si>
    <t>39</t>
  </si>
  <si>
    <t>712391172RZ5</t>
  </si>
  <si>
    <t>Položení ochranné textilie na střechách do 10°</t>
  </si>
  <si>
    <t>712_</t>
  </si>
  <si>
    <t>71_</t>
  </si>
  <si>
    <t>40</t>
  </si>
  <si>
    <t>7123821-18RV</t>
  </si>
  <si>
    <t>Provedení povlakové krytiny střech do 10°, fólií TPO s vložkou tl. 1,8mm - střecha nad 2.NP</t>
  </si>
  <si>
    <t>7129-0152RV</t>
  </si>
  <si>
    <t>Zesílení pod stavitelné terče</t>
  </si>
  <si>
    <t>42</t>
  </si>
  <si>
    <t>712378008R00</t>
  </si>
  <si>
    <t>Pásek VIPLANYL rš 50 mm</t>
  </si>
  <si>
    <t>43</t>
  </si>
  <si>
    <t>712378012R00</t>
  </si>
  <si>
    <t>Krycí a stěnová lišta z plechu VIPLANYL, rš 160 + 80 mm, k uchycení fóliové krytiny ke stěně</t>
  </si>
  <si>
    <t>44</t>
  </si>
  <si>
    <t>998712201R00</t>
  </si>
  <si>
    <t>Přesun hmot pro povlakové krytiny, v objektech výšky do 6 m</t>
  </si>
  <si>
    <t>%</t>
  </si>
  <si>
    <t>713</t>
  </si>
  <si>
    <t>Izolace tepelné</t>
  </si>
  <si>
    <t>45</t>
  </si>
  <si>
    <t>71311-1140RV</t>
  </si>
  <si>
    <t>Tepelná izolace stropu, vložená do konstrukce MV tl.40mm - podhled nad 1.NP</t>
  </si>
  <si>
    <t>713_</t>
  </si>
  <si>
    <t>46</t>
  </si>
  <si>
    <t>713111211RK2</t>
  </si>
  <si>
    <t>Montáž parozábrany, krovů spodem s přelepením spojů - podhled nad 1.NP</t>
  </si>
  <si>
    <t>47</t>
  </si>
  <si>
    <t>713121-280RV</t>
  </si>
  <si>
    <t>Montáž tepelné izolace podlah na sucho, dvouvrstvé - 2x EPS 200 tl. 40mm - podlaha 2.NP</t>
  </si>
  <si>
    <t>48</t>
  </si>
  <si>
    <t>713111231RK2</t>
  </si>
  <si>
    <t>Montáž parozábrany, stropů shora s přelepením spojů - strop nad 2.NP</t>
  </si>
  <si>
    <t>49</t>
  </si>
  <si>
    <t>713121121R00</t>
  </si>
  <si>
    <t>Montáž tepelné izolace podlah na sucho, dvouvrstvé - strop nad 2.NP</t>
  </si>
  <si>
    <t>50</t>
  </si>
  <si>
    <t>63151435.A</t>
  </si>
  <si>
    <t>Deska izolační MW, Isover N tl. 30 mm, podélná vlákna, podlahová</t>
  </si>
  <si>
    <t>51</t>
  </si>
  <si>
    <t>713141711R00</t>
  </si>
  <si>
    <t>Montáž spádových klínů plochých střech, lepených bodově PU lepidlem - střecha nad 2.NP</t>
  </si>
  <si>
    <t>52</t>
  </si>
  <si>
    <t>28375973</t>
  </si>
  <si>
    <t>Deska spádová EPS 200</t>
  </si>
  <si>
    <t>53</t>
  </si>
  <si>
    <t>713511371RU2</t>
  </si>
  <si>
    <t>Nátěr protipožární třívrstvý Promapaint R30</t>
  </si>
  <si>
    <t>54</t>
  </si>
  <si>
    <t>713511R45RV</t>
  </si>
  <si>
    <t>Nátěr protipožární třívrstvý Promapaint R45</t>
  </si>
  <si>
    <t>55</t>
  </si>
  <si>
    <t>713571115R00IM</t>
  </si>
  <si>
    <t>Požárně ochranná manžeta EI 90, D 110 mm</t>
  </si>
  <si>
    <t>56</t>
  </si>
  <si>
    <t>713R01IM</t>
  </si>
  <si>
    <t>Zaomitání otvorů pro požární izolaci, Dodávka+montáž</t>
  </si>
  <si>
    <t>57</t>
  </si>
  <si>
    <t>713R02IM</t>
  </si>
  <si>
    <t>Orientační štítek požární izolace, Dodávka+montáž</t>
  </si>
  <si>
    <t>58</t>
  </si>
  <si>
    <t>998713101R00IM</t>
  </si>
  <si>
    <t>Přesun hmot pro izolace tepelné v objektech výšky do 6 m</t>
  </si>
  <si>
    <t>t</t>
  </si>
  <si>
    <t>59</t>
  </si>
  <si>
    <t>998713202R00</t>
  </si>
  <si>
    <t>Přesun hmot pro izolace tepelné, v objektech výšky do 12 m</t>
  </si>
  <si>
    <t>764</t>
  </si>
  <si>
    <t>Konstrukce klempířské</t>
  </si>
  <si>
    <t>60</t>
  </si>
  <si>
    <t>76481-089RV</t>
  </si>
  <si>
    <t>Oplechování svodu</t>
  </si>
  <si>
    <t>764_</t>
  </si>
  <si>
    <t>76_</t>
  </si>
  <si>
    <t>7642-120RV</t>
  </si>
  <si>
    <t>Střešní vpusť vyhřívaná</t>
  </si>
  <si>
    <t>764908-20RV</t>
  </si>
  <si>
    <t>Odpadní trouby kruhové plast- průměr 120 mm</t>
  </si>
  <si>
    <t>7649501030RV</t>
  </si>
  <si>
    <t>Střešní pojistný přepad 50x100x300</t>
  </si>
  <si>
    <t>764233420R00</t>
  </si>
  <si>
    <t>Lemování zdí z TiZn plechu, rš 250 mm, plochá střecha</t>
  </si>
  <si>
    <t>65</t>
  </si>
  <si>
    <t>764530450RT2</t>
  </si>
  <si>
    <t>Oplechování zdí z TiZn plechu, rš 600 mm</t>
  </si>
  <si>
    <t>66</t>
  </si>
  <si>
    <t>Krycí lišta připojovací z TiZn plechu</t>
  </si>
  <si>
    <t>67</t>
  </si>
  <si>
    <t>998764202R00</t>
  </si>
  <si>
    <t>Přesun hmot pro klempířské konstrukce, v objektech výšky do 12 m</t>
  </si>
  <si>
    <t>767</t>
  </si>
  <si>
    <t>Konstrukce doplňkové stavební (zámečnické)</t>
  </si>
  <si>
    <t>68</t>
  </si>
  <si>
    <t>7671-010200RV</t>
  </si>
  <si>
    <t>Montáž sendvičových panelů obvodových stěn</t>
  </si>
  <si>
    <t>767_</t>
  </si>
  <si>
    <t>69</t>
  </si>
  <si>
    <t>61210-200RV</t>
  </si>
  <si>
    <t>Panel sendvičový stěnový s kovovým pláštěm, MV jádro tl. 200 mm</t>
  </si>
  <si>
    <t>70</t>
  </si>
  <si>
    <t>767422101R00</t>
  </si>
  <si>
    <t>D+M kovové fasády - trap. plech pozink v. 30mm</t>
  </si>
  <si>
    <t>71</t>
  </si>
  <si>
    <t>767425-350RV</t>
  </si>
  <si>
    <t>Oplechování ukončujících částí rš.350 mm</t>
  </si>
  <si>
    <t>72</t>
  </si>
  <si>
    <t>767392112R00</t>
  </si>
  <si>
    <t>Montáž krytiny střech, tvar. plechem, šroubováním - střecha nad 2.NP</t>
  </si>
  <si>
    <t>73</t>
  </si>
  <si>
    <t>15481281</t>
  </si>
  <si>
    <t>Plech trapézový pozinkovaný T80/280, tl.1,0mm, 80 x 1120 x 6000 mm</t>
  </si>
  <si>
    <t>74</t>
  </si>
  <si>
    <t>767-011002RV</t>
  </si>
  <si>
    <t>Pochozí světlík - terasa 2.NP</t>
  </si>
  <si>
    <t>75</t>
  </si>
  <si>
    <t>76716-852RV</t>
  </si>
  <si>
    <t>Montáž zesilujícího profilu UPE 240 na hranu fasády</t>
  </si>
  <si>
    <t>76</t>
  </si>
  <si>
    <t>13485325</t>
  </si>
  <si>
    <t>Profil UPE 240, S235JR</t>
  </si>
  <si>
    <t>77</t>
  </si>
  <si>
    <t>767995-011RV</t>
  </si>
  <si>
    <t>Výroba a montáž kovových konstrukcí  - skelet</t>
  </si>
  <si>
    <t>kg</t>
  </si>
  <si>
    <t>78</t>
  </si>
  <si>
    <t>127523</t>
  </si>
  <si>
    <t>Trubka 244,5/10</t>
  </si>
  <si>
    <t>79</t>
  </si>
  <si>
    <t>1272198</t>
  </si>
  <si>
    <t>Trubka 219/8</t>
  </si>
  <si>
    <t>80</t>
  </si>
  <si>
    <t>1271018</t>
  </si>
  <si>
    <t>Trubka 101/8</t>
  </si>
  <si>
    <t>81</t>
  </si>
  <si>
    <t>13482750450</t>
  </si>
  <si>
    <t>Tyč ocelová IPE 450, S235JR</t>
  </si>
  <si>
    <t>82</t>
  </si>
  <si>
    <t>13482740</t>
  </si>
  <si>
    <t>Tyč ocelová IPE 330, S235JR</t>
  </si>
  <si>
    <t>83</t>
  </si>
  <si>
    <t>1353-015210RV</t>
  </si>
  <si>
    <t>Plotny tl. 10 mm</t>
  </si>
  <si>
    <t>84</t>
  </si>
  <si>
    <t>13388125</t>
  </si>
  <si>
    <t>Tyč ocelová HEA 100, S235JR</t>
  </si>
  <si>
    <t>85</t>
  </si>
  <si>
    <t>13485315</t>
  </si>
  <si>
    <t>Tyč ocelová UPE 200, S235JR</t>
  </si>
  <si>
    <t>86</t>
  </si>
  <si>
    <t>13335412</t>
  </si>
  <si>
    <t>Tyč ocelová L nerovnoramenná S235JR, rozměr 100 x 65 x 8 mm</t>
  </si>
  <si>
    <t>87</t>
  </si>
  <si>
    <t>13331835</t>
  </si>
  <si>
    <t>Tyč ocelová L rovnoramenná S235JR, rozměr 100 x 100 x 8 mm</t>
  </si>
  <si>
    <t>88</t>
  </si>
  <si>
    <t>13331788</t>
  </si>
  <si>
    <t>Tyč ocelová L rovnoramenná S235JR, rozměr 80 x 80 x 8 mm</t>
  </si>
  <si>
    <t>89</t>
  </si>
  <si>
    <t>76799-0145RV</t>
  </si>
  <si>
    <t>Výměna roštů + sch. stupňů</t>
  </si>
  <si>
    <t>90</t>
  </si>
  <si>
    <t>55347301.A</t>
  </si>
  <si>
    <t>Stupeň schodišťový 40/3 lisovaný "P" 1200 x 305 mm</t>
  </si>
  <si>
    <t>91</t>
  </si>
  <si>
    <t>55347129</t>
  </si>
  <si>
    <t>Rošt podlahový 30/3 lisovaný "P" 1300 x 1500 mm</t>
  </si>
  <si>
    <t>92</t>
  </si>
  <si>
    <t>55347119</t>
  </si>
  <si>
    <t>Rošt podlahový 30/3 lisovaný "P" 500 x 1000 mm</t>
  </si>
  <si>
    <t>93</t>
  </si>
  <si>
    <t>767995103R00</t>
  </si>
  <si>
    <t>Výroba a montáž kovových atypických konstrukcí do 20 kg - lávka+zábradlí</t>
  </si>
  <si>
    <t>94</t>
  </si>
  <si>
    <t>78318-01RV</t>
  </si>
  <si>
    <t>Metalizace zinkem</t>
  </si>
  <si>
    <t>95</t>
  </si>
  <si>
    <t>13386440</t>
  </si>
  <si>
    <t>Tyč ocelová UPE 160, S235JR</t>
  </si>
  <si>
    <t>96</t>
  </si>
  <si>
    <t>13383430</t>
  </si>
  <si>
    <t>Tyč ocelová IPE 160, S235JR</t>
  </si>
  <si>
    <t>97</t>
  </si>
  <si>
    <t>98</t>
  </si>
  <si>
    <t>998767202R00</t>
  </si>
  <si>
    <t>Přesun hmot pro zámečnické konstrukce, v objektech výšky do 12 m</t>
  </si>
  <si>
    <t>771</t>
  </si>
  <si>
    <t>Podlahy z dlaždic</t>
  </si>
  <si>
    <t>99</t>
  </si>
  <si>
    <t>771-1001RV</t>
  </si>
  <si>
    <t>Oprava stávajících podlah po montáži výpní otvorů</t>
  </si>
  <si>
    <t>771_</t>
  </si>
  <si>
    <t>77_</t>
  </si>
  <si>
    <t>776</t>
  </si>
  <si>
    <t>Podlahy povlakové</t>
  </si>
  <si>
    <t>100</t>
  </si>
  <si>
    <t>776520010RA0</t>
  </si>
  <si>
    <t>Podlaha vinylová povlaková zátěžová z pásů, soklík z Al lišt</t>
  </si>
  <si>
    <t>776_</t>
  </si>
  <si>
    <t>101</t>
  </si>
  <si>
    <t>998776202R00</t>
  </si>
  <si>
    <t>Přesun hmot pro podlahy povlakové, v objektech výšky do 12 m</t>
  </si>
  <si>
    <t>783</t>
  </si>
  <si>
    <t>Nátěry</t>
  </si>
  <si>
    <t>102</t>
  </si>
  <si>
    <t>783122210R00</t>
  </si>
  <si>
    <t>Nátěr syntetický OK "A" 1x + 2x email</t>
  </si>
  <si>
    <t>783_</t>
  </si>
  <si>
    <t>78_</t>
  </si>
  <si>
    <t>103</t>
  </si>
  <si>
    <t>783424240R00IM</t>
  </si>
  <si>
    <t>Nátěry potrubí a armatur syntetické potrubí, do DN 50 mm, jednonásobné s 1x emailováním a základním nátěrem</t>
  </si>
  <si>
    <t>784</t>
  </si>
  <si>
    <t>Malby</t>
  </si>
  <si>
    <t>104</t>
  </si>
  <si>
    <t>784161601R00</t>
  </si>
  <si>
    <t>Penetrace podkladu  1 x</t>
  </si>
  <si>
    <t>784_</t>
  </si>
  <si>
    <t>105</t>
  </si>
  <si>
    <t>784165222R00</t>
  </si>
  <si>
    <t>Malba barva, bez penetrace, 2x</t>
  </si>
  <si>
    <t>106</t>
  </si>
  <si>
    <t>7845-011RV</t>
  </si>
  <si>
    <t>Opravy maleb po stavebních úpravách ve stávajících prostorech</t>
  </si>
  <si>
    <t>Hodinové zúčtovací sazby (HZS)</t>
  </si>
  <si>
    <t>107</t>
  </si>
  <si>
    <t>900      R00</t>
  </si>
  <si>
    <t>HZS-Ostatní bourací a nespecifikované práce</t>
  </si>
  <si>
    <t>h</t>
  </si>
  <si>
    <t>90_</t>
  </si>
  <si>
    <t>9_</t>
  </si>
  <si>
    <t>Lešení a stavební výtahy</t>
  </si>
  <si>
    <t>108</t>
  </si>
  <si>
    <t>941941031R00</t>
  </si>
  <si>
    <t>Montáž lešení lehkého řadového s podlahami, š. do 1 m, výšky do 10 m</t>
  </si>
  <si>
    <t>94_</t>
  </si>
  <si>
    <t>109</t>
  </si>
  <si>
    <t>941941111R00</t>
  </si>
  <si>
    <t>Pronájem lešení za den</t>
  </si>
  <si>
    <t>110</t>
  </si>
  <si>
    <t>941941831R00</t>
  </si>
  <si>
    <t>Demontáž lešení lehkého řadového s podlahami, š. do 1 m, výšky do 10 m</t>
  </si>
  <si>
    <t>111</t>
  </si>
  <si>
    <t>941941502R00</t>
  </si>
  <si>
    <t>Doprava lešení pronajímaného - dovoz a odvoz sady do 250 m2</t>
  </si>
  <si>
    <t>km</t>
  </si>
  <si>
    <t>112</t>
  </si>
  <si>
    <t>941955002R00</t>
  </si>
  <si>
    <t>Lešení lehké pomocné, výška podlahy do 1,9 m</t>
  </si>
  <si>
    <t>113</t>
  </si>
  <si>
    <t>941955001R00IM</t>
  </si>
  <si>
    <t>Lešení lehké pracovní pomocné pomocné, o výšce lešeňové podlahy do 1,2 m - rozvody ZTI</t>
  </si>
  <si>
    <t>Různé dokončovací konstrukce a práce na pozemních stavbách</t>
  </si>
  <si>
    <t>114</t>
  </si>
  <si>
    <t>952901111R00IM</t>
  </si>
  <si>
    <t>Vyčištění budov a ostatních objektů budov bytové nebo občanské výstavby - zametení a umytí podlah, dlažeb, obkladů, schodů v místnostech, chodbách a s</t>
  </si>
  <si>
    <t>95_</t>
  </si>
  <si>
    <t>Bourání konstrukcí</t>
  </si>
  <si>
    <t>115</t>
  </si>
  <si>
    <t>968062-52RV</t>
  </si>
  <si>
    <t>Vybourání dřevěných rámů oken dvojitých - bez poškození rámů</t>
  </si>
  <si>
    <t>96_</t>
  </si>
  <si>
    <t>116</t>
  </si>
  <si>
    <t>968072357R00</t>
  </si>
  <si>
    <t>Vybourání kovových rámů oken zdvojených nad 4 m2</t>
  </si>
  <si>
    <t>117</t>
  </si>
  <si>
    <t>968096002R00</t>
  </si>
  <si>
    <t>Bourání parapetů plastových š. do 50 cm</t>
  </si>
  <si>
    <t>118</t>
  </si>
  <si>
    <t>9620-011RV</t>
  </si>
  <si>
    <t>Demontáž fasádního obkladu vč. konstrukce</t>
  </si>
  <si>
    <t>119</t>
  </si>
  <si>
    <t>978041114R00</t>
  </si>
  <si>
    <t>Odstranění zateplovacího systému, EPS F tl. 140 mm s omítkou</t>
  </si>
  <si>
    <t>120</t>
  </si>
  <si>
    <t>962032231R00</t>
  </si>
  <si>
    <t>Bourání zdiva z cihel pálených na MVC</t>
  </si>
  <si>
    <t>121</t>
  </si>
  <si>
    <t>973031335R00</t>
  </si>
  <si>
    <t>Vysekání kapes zeď cih. MVC pl. 0,16 m2, hl. 30 cm</t>
  </si>
  <si>
    <t>122</t>
  </si>
  <si>
    <t>970031130R00IM</t>
  </si>
  <si>
    <t>Jádrové vrtání, kruhové prostupy v cihelném zdivu jádrové vrtání, do D 130 mm</t>
  </si>
  <si>
    <t>123</t>
  </si>
  <si>
    <t>974031143R00IM</t>
  </si>
  <si>
    <t>Vysekání rýh v jakémkoliv zdivu cihelném v ploše  do hloubky 70 mm, šířky do 100 mm</t>
  </si>
  <si>
    <t>124</t>
  </si>
  <si>
    <t>711170101R00</t>
  </si>
  <si>
    <t>Odstranění izolace proti vlhkosti, na ploše vodorovné, fólie volně</t>
  </si>
  <si>
    <t>H01</t>
  </si>
  <si>
    <t>Budovy občanské výstavby</t>
  </si>
  <si>
    <t>125</t>
  </si>
  <si>
    <t>999281-014RV</t>
  </si>
  <si>
    <t>Přesun hmot pro budovy montované do v. 12 m,nošením</t>
  </si>
  <si>
    <t>H01_</t>
  </si>
  <si>
    <t>126</t>
  </si>
  <si>
    <t>998014011R00</t>
  </si>
  <si>
    <t>Přesun hmot, budovy mont. jednopodl. s pláštěm</t>
  </si>
  <si>
    <t>127</t>
  </si>
  <si>
    <t>998014091R00</t>
  </si>
  <si>
    <t>Přesun hmot, budovy mont, plášť, příplatek do 1 km</t>
  </si>
  <si>
    <t>128</t>
  </si>
  <si>
    <t>998-1100LTMVR</t>
  </si>
  <si>
    <t>Osazení ocelových konstrukcí jeřábem LTM1100 Cena za 10 dnů prací - vč. dopravy jeřábu</t>
  </si>
  <si>
    <t>S</t>
  </si>
  <si>
    <t>Přesuny sutí</t>
  </si>
  <si>
    <t>129</t>
  </si>
  <si>
    <t>979011211R00</t>
  </si>
  <si>
    <t>Svislá doprava suti a vybour. hmot za 2.NP nošením</t>
  </si>
  <si>
    <t>S_</t>
  </si>
  <si>
    <t>130</t>
  </si>
  <si>
    <t>979087312R00</t>
  </si>
  <si>
    <t>Vodorovné přemístění vyb. hmot nošením do 10 m</t>
  </si>
  <si>
    <t>131</t>
  </si>
  <si>
    <t>979086213R00</t>
  </si>
  <si>
    <t>Nakládání vybouraných hmot na dopravní prostředek</t>
  </si>
  <si>
    <t>132</t>
  </si>
  <si>
    <t>979081111RT2</t>
  </si>
  <si>
    <t>Odvoz suti a vybour. hmot na skládku do 1 km</t>
  </si>
  <si>
    <t>133</t>
  </si>
  <si>
    <t>979081121RT2</t>
  </si>
  <si>
    <t>Příplatek k odvozu za každý další 1 km</t>
  </si>
  <si>
    <t>134</t>
  </si>
  <si>
    <t>979097014R00</t>
  </si>
  <si>
    <t>Pronájem kontejneru</t>
  </si>
  <si>
    <t>135</t>
  </si>
  <si>
    <t>979990107R00</t>
  </si>
  <si>
    <t>Poplatek za uložení suti - směs betonu, cihel, dřeva, skupina odpadu 170904</t>
  </si>
  <si>
    <t>136</t>
  </si>
  <si>
    <t>979990191R00</t>
  </si>
  <si>
    <t>Poplatek za uložení suti - plastové výrobky, skupina odpadu 170203</t>
  </si>
  <si>
    <t>VZT1</t>
  </si>
  <si>
    <t>VZT - Větrání atria</t>
  </si>
  <si>
    <t>137</t>
  </si>
  <si>
    <t>1.1IM</t>
  </si>
  <si>
    <t>Přívodní vzduchotechnická jednotka ve vnitřním podstropním provedení, Vp/o=2100/2100 m3/h (200Pa),  s elektrickým ohřívačem Qt=7.4 kW, včetně filtrů F</t>
  </si>
  <si>
    <t>VZT1_</t>
  </si>
  <si>
    <t>138</t>
  </si>
  <si>
    <t>1.2IM</t>
  </si>
  <si>
    <t>Tlumič kulisový, opláštění pozinkované, kulisa/mezera 100/150 mm, 500x315x1000 mm</t>
  </si>
  <si>
    <t>139</t>
  </si>
  <si>
    <t>1.3IM</t>
  </si>
  <si>
    <t>Protidešťová žaluzie, pozinkovaná, se sítem, 315x900 mm, RAL dle investora/architekta</t>
  </si>
  <si>
    <t>140</t>
  </si>
  <si>
    <t>1.4IM</t>
  </si>
  <si>
    <t>Protidešťová žaluzie, pozinkovaná, se sítem, 315x400 mm, RAL dle investora/architekta</t>
  </si>
  <si>
    <t>141</t>
  </si>
  <si>
    <t>1.5IM</t>
  </si>
  <si>
    <t>Mřížka přívodní, dvouřadá, s regulací R1, pozinkovaná, 825x75 mm, bílá barva, RAL dle investora/architekta</t>
  </si>
  <si>
    <t>142</t>
  </si>
  <si>
    <t>1.6IM</t>
  </si>
  <si>
    <t>Mřížka odtahová, jednořadá, s regulací R1, pozinkovaná, 825x75 mm, bílá barva, RAL dle investora/architekta</t>
  </si>
  <si>
    <t>143</t>
  </si>
  <si>
    <t>1.7IM</t>
  </si>
  <si>
    <t>Požární klapka, do čtyřhranného potrubí, lamelová,  se servopohonem 230V, 400x315 mm</t>
  </si>
  <si>
    <t>144</t>
  </si>
  <si>
    <t>1.8IM</t>
  </si>
  <si>
    <t>Požární klapka, do kruhového potrubí, se servopohonem 230V, o400 mm</t>
  </si>
  <si>
    <t>145</t>
  </si>
  <si>
    <t>1.9.IM</t>
  </si>
  <si>
    <t>Potrubí čtyřhranné do obvodu 1700 mm, vč. tvarovek 50%, sk.I, pozinkované, třída těsnosti B</t>
  </si>
  <si>
    <t>bm</t>
  </si>
  <si>
    <t>146</t>
  </si>
  <si>
    <t>1.10IM</t>
  </si>
  <si>
    <t>Rovné potrubí a tvarovky, čtyřhranného průřezu z předizolovaného panelu. Nezávisle na velikosti průřezu exteriérní panel 30 mm šířky, 80/200 mikronů s</t>
  </si>
  <si>
    <t>147</t>
  </si>
  <si>
    <t>1.11IM</t>
  </si>
  <si>
    <t>Potrubí kruhové, spiro, do o400 mm, vč. 30% tvarovek, vč. povrchové úpravy lakováním (bílé), RAL dopřesní zástupce investora/architekt</t>
  </si>
  <si>
    <t>148</t>
  </si>
  <si>
    <t>1.12IM</t>
  </si>
  <si>
    <t>Izolace na bázi syntetického kaučuku tl. 20 mm, s Al polepem</t>
  </si>
  <si>
    <t>149</t>
  </si>
  <si>
    <t>1.13IM</t>
  </si>
  <si>
    <t>Požární izolace z minerální vlny, 40mm, s Al polepem</t>
  </si>
  <si>
    <t>150</t>
  </si>
  <si>
    <t>1.14IM</t>
  </si>
  <si>
    <t>Oplechování požární izolace v interiéru</t>
  </si>
  <si>
    <t>151</t>
  </si>
  <si>
    <t>1.15IM</t>
  </si>
  <si>
    <t>Montážní, spojovací a kotvící materiál</t>
  </si>
  <si>
    <t>VZT2</t>
  </si>
  <si>
    <t>VZT - Chlazení atria</t>
  </si>
  <si>
    <t>152</t>
  </si>
  <si>
    <t>2.1IM</t>
  </si>
  <si>
    <t>Venkovní kondenzační jednotka typu split, Qch/t=12,5/14 kW(R32), Pi=4.01 kW, 6.18 A, 3x400V, 1050x330x951 mm, 85 kg, vč. expanzního ventilu</t>
  </si>
  <si>
    <t>VZT2_</t>
  </si>
  <si>
    <t>153</t>
  </si>
  <si>
    <t>2.2IM</t>
  </si>
  <si>
    <t>Vnitřní kazetová výparníková jednotka, vč. krycího panelu 950x950mm, rozměr 840x840x258 mm, 26 kg, Qch/t=6.1/7.0 kW (R32), vč. čerpadla kondenzátu</t>
  </si>
  <si>
    <t>154</t>
  </si>
  <si>
    <t>2.3.IM</t>
  </si>
  <si>
    <t>Y-rozbočka 9.52/15.88/9.52/15.88 mm, systém duo</t>
  </si>
  <si>
    <t>155</t>
  </si>
  <si>
    <t>2.4.IM</t>
  </si>
  <si>
    <t>Kabelový nástěnný ovladač</t>
  </si>
  <si>
    <t>156</t>
  </si>
  <si>
    <t>2.5.IM</t>
  </si>
  <si>
    <t>Klimatizační potrubí Cu</t>
  </si>
  <si>
    <t>157</t>
  </si>
  <si>
    <t>2.6.IM</t>
  </si>
  <si>
    <t>Podpěrná konstrukce systémová, pro instalaci kondenzační jednotky na svislou stěnu, vč. regulátorů chvění</t>
  </si>
  <si>
    <t>158</t>
  </si>
  <si>
    <t>2.7.IM</t>
  </si>
  <si>
    <t>Tlaková zkouška inertním plynem</t>
  </si>
  <si>
    <t>159</t>
  </si>
  <si>
    <t>2.8.IM</t>
  </si>
  <si>
    <t>Vakuová zkouška</t>
  </si>
  <si>
    <t>160</t>
  </si>
  <si>
    <t>2.9.IM</t>
  </si>
  <si>
    <t>Komunikační kabeláž</t>
  </si>
  <si>
    <t>161</t>
  </si>
  <si>
    <t>2.10.IM</t>
  </si>
  <si>
    <t>Plastový kryt do interiéru, vč. tvarovek 30%</t>
  </si>
  <si>
    <t>162</t>
  </si>
  <si>
    <t>2.11.IM</t>
  </si>
  <si>
    <t>Oplechování potrubí v interiéru 1.NP</t>
  </si>
  <si>
    <t>163</t>
  </si>
  <si>
    <t>2.12.IM</t>
  </si>
  <si>
    <t>VZT3</t>
  </si>
  <si>
    <t>Ostatní náklady VZT</t>
  </si>
  <si>
    <t>164</t>
  </si>
  <si>
    <t>728-01</t>
  </si>
  <si>
    <t>Doprava - 3.6% z dodávky zařízení</t>
  </si>
  <si>
    <t>VZT3_</t>
  </si>
  <si>
    <t>165</t>
  </si>
  <si>
    <t>728-02</t>
  </si>
  <si>
    <t>Přesun hmot</t>
  </si>
  <si>
    <t>166</t>
  </si>
  <si>
    <t>728-03</t>
  </si>
  <si>
    <t>Lešení a jeřábová technika</t>
  </si>
  <si>
    <t>167</t>
  </si>
  <si>
    <t>728-04</t>
  </si>
  <si>
    <t>Komplexní vyzkoušení zařízení, oživení a vyregulování zařízení</t>
  </si>
  <si>
    <t>168</t>
  </si>
  <si>
    <t>728-05</t>
  </si>
  <si>
    <t>Vypracování protokolu o proměření a vyregulování</t>
  </si>
  <si>
    <t>169</t>
  </si>
  <si>
    <t>728-06</t>
  </si>
  <si>
    <t>Zaškolení obsluhy</t>
  </si>
  <si>
    <t>170</t>
  </si>
  <si>
    <t>728-07</t>
  </si>
  <si>
    <t>Zpracování dodavatelské dokumentace</t>
  </si>
  <si>
    <t>171</t>
  </si>
  <si>
    <t>728-08</t>
  </si>
  <si>
    <t>Projekt skutečného provedení</t>
  </si>
  <si>
    <t>172</t>
  </si>
  <si>
    <t>728-09</t>
  </si>
  <si>
    <t>Přemístění stávajících jednotek v 1.NP</t>
  </si>
  <si>
    <t>ZTI1</t>
  </si>
  <si>
    <t>Vnitřní kanalizace</t>
  </si>
  <si>
    <t>173</t>
  </si>
  <si>
    <t>721170965R00IM</t>
  </si>
  <si>
    <t>Opravy odpadního potrubí novodurového propojení dosavadního potrubí PVC, D 110 mm</t>
  </si>
  <si>
    <t>ZTI1_</t>
  </si>
  <si>
    <t>Z_</t>
  </si>
  <si>
    <t>174</t>
  </si>
  <si>
    <t>721176101R00IM</t>
  </si>
  <si>
    <t>Potrubí HT připojovací vnější průměr D 32 mm, tloušťka stěny 1,8 mm, DN 30</t>
  </si>
  <si>
    <t>175</t>
  </si>
  <si>
    <t>721176105R00IM</t>
  </si>
  <si>
    <t>Potrubí HT připojovací vnější průměr D 110 mm, tloušťka stěny 2,7 mm, DN 100</t>
  </si>
  <si>
    <t>176</t>
  </si>
  <si>
    <t>721176115R00IM</t>
  </si>
  <si>
    <t>Potrubí HT odpadní svislé vnější průměr D 110 mm, tloušťka stěny 2,7 mm, DN 100, Trubka plastová kanalizační materiál: PP; povrch: hladký; de = 110,0</t>
  </si>
  <si>
    <t>177</t>
  </si>
  <si>
    <t>721176135R00IM</t>
  </si>
  <si>
    <t>Potrubí svodné (ležaté) zavěšené vnější průměr D 110 mm, tloušťka stěny 2,7 mm, DN 100</t>
  </si>
  <si>
    <t>178</t>
  </si>
  <si>
    <t>721177715R00IM</t>
  </si>
  <si>
    <t>Potrubí třívrstvé velmi silně odhlučněné -  odpadní svislé vnější vrstva z PP, střední vrstva z PP zesílená minerálními látkami, vnitřní vrstva z PP,</t>
  </si>
  <si>
    <t>179</t>
  </si>
  <si>
    <t>721177735R00IM</t>
  </si>
  <si>
    <t>Potrubí třívrstvé velmi silně odhlučněné - zavěšené vnější vrstva z PP, střední vrstva z PP zesílená minerálními látkami, vnitřní vrstva z PP, hlasito</t>
  </si>
  <si>
    <t>180</t>
  </si>
  <si>
    <t>721194103R00IM</t>
  </si>
  <si>
    <t>Zřízení přípojek na potrubí D 32 mm</t>
  </si>
  <si>
    <t>181</t>
  </si>
  <si>
    <t>721194105R00IM</t>
  </si>
  <si>
    <t>Zřízení přípojek na potrubí D 50 mm</t>
  </si>
  <si>
    <t>182</t>
  </si>
  <si>
    <t>721273150RT1IM</t>
  </si>
  <si>
    <t>Ventilační hlavice D 50, 75, 110 mm, přivzdušňovací ventil D 50/75/110 mm s dvojitou izolační stěnou, s masivní pryžovou membránou, s odnímatelnou mří</t>
  </si>
  <si>
    <t>183</t>
  </si>
  <si>
    <t>721290111R00IM</t>
  </si>
  <si>
    <t>Zkouška těsnosti kanalizace v objektech vodou, DN 125</t>
  </si>
  <si>
    <t>184</t>
  </si>
  <si>
    <t>721290123R00IM</t>
  </si>
  <si>
    <t>Zkouška těsnosti kanalizace v objektech kouřem, DN 300</t>
  </si>
  <si>
    <t>185</t>
  </si>
  <si>
    <t>721R01IM</t>
  </si>
  <si>
    <t>Tepelná izolace potrubí 30/114, Dodávka+montáž</t>
  </si>
  <si>
    <t>186</t>
  </si>
  <si>
    <t>721R02IM</t>
  </si>
  <si>
    <t>Podomítkový sifon ke klimatizačním jednotkám DN32 - 100x100mm, Dodávka+montáž</t>
  </si>
  <si>
    <t>187</t>
  </si>
  <si>
    <t>721R03IM</t>
  </si>
  <si>
    <t>Připojení potrubí pro odvod kondenzátu</t>
  </si>
  <si>
    <t>188</t>
  </si>
  <si>
    <t>721R04IM</t>
  </si>
  <si>
    <t>Upevňovací technika pro potrubí do D133x5,0, Dodávka + montáž</t>
  </si>
  <si>
    <t>189</t>
  </si>
  <si>
    <t>721152338R00</t>
  </si>
  <si>
    <t>Čisticí kus Geberit Silent - db20 - odpadní svislé, D 110 mm</t>
  </si>
  <si>
    <t>190</t>
  </si>
  <si>
    <t>998721101R00IM</t>
  </si>
  <si>
    <t>Přesun hmot pro vnitřní kanalizaci v objektech výšky do 6 m</t>
  </si>
  <si>
    <t>ZTI2</t>
  </si>
  <si>
    <t>Vnitřní vodovod</t>
  </si>
  <si>
    <t>191</t>
  </si>
  <si>
    <t>722178113RT1IM</t>
  </si>
  <si>
    <t>Potrubí vodovodní vícevrstvé PEX/AL/PEX, D 20 mm, s 2,0 mm, PN 10, lisovaný spoj s mosaznými tvarovkami, Trubka plastová skladba: PE-RT - AL - PE-Xb;</t>
  </si>
  <si>
    <t>ZTI2_</t>
  </si>
  <si>
    <t>192</t>
  </si>
  <si>
    <t>722178114RT1IM</t>
  </si>
  <si>
    <t>Potrubí vodovodní vícevrstvé PEX/AL/PEX, D 26 mm, s 3,0 mm, PN 10, lisovaný spoj s mosaznými tvarovkami, Trubka plastová skladba: PE-RT - AL - PE-Xb;</t>
  </si>
  <si>
    <t>193</t>
  </si>
  <si>
    <t>722181211RT7IM</t>
  </si>
  <si>
    <t>Izolace vodovodního potrubí návleková z trubic z pěnového polyetylenu, tloušťka stěny 6 mm, d 22 mm, Výrobek izolační pro instalace z polyethylenové p</t>
  </si>
  <si>
    <t>194</t>
  </si>
  <si>
    <t>722181213RT9IM</t>
  </si>
  <si>
    <t>Izolace vodovodního potrubí návleková z trubic z pěnového polyetylenu, tloušťka stěny 13 mm, d 28 mm, Výrobek izolační pro instalace z polyethylenové</t>
  </si>
  <si>
    <t>195</t>
  </si>
  <si>
    <t>722190401R00IM</t>
  </si>
  <si>
    <t>Vyvedení a upevnění výpustek DN 15</t>
  </si>
  <si>
    <t>196</t>
  </si>
  <si>
    <t>722222182R00IM</t>
  </si>
  <si>
    <t>Kohout kulový, výtokový (zahradní), vnější závit, mosazný, DN 15, PN 16, včetně dodávky materiálu</t>
  </si>
  <si>
    <t>197</t>
  </si>
  <si>
    <t>722235112R00IM</t>
  </si>
  <si>
    <t>Kohout kulový, mosazný, vnitřní-vnitřní závit, DN 20, PN 25</t>
  </si>
  <si>
    <t>198</t>
  </si>
  <si>
    <t>722280106R00IM</t>
  </si>
  <si>
    <t>Tlaková zkouška vodovodního potrubí do DN 32</t>
  </si>
  <si>
    <t>199</t>
  </si>
  <si>
    <t>722290234R00IM</t>
  </si>
  <si>
    <t>Proplach a dezinfekce vodovodního potrubí do DN 80</t>
  </si>
  <si>
    <t>200</t>
  </si>
  <si>
    <t>722R01IM</t>
  </si>
  <si>
    <t>Vodoměr DN 15/SV ENBRA ER-AM Q3 4 m3/hod. + M-Bus modul, Dodávka + montáž</t>
  </si>
  <si>
    <t>201</t>
  </si>
  <si>
    <t>722R02IM</t>
  </si>
  <si>
    <t>202</t>
  </si>
  <si>
    <t>722R03IM</t>
  </si>
  <si>
    <t>Napojení na stávající potrubí, Dodávka + montáž</t>
  </si>
  <si>
    <t>203</t>
  </si>
  <si>
    <t>998722101R00IM</t>
  </si>
  <si>
    <t>Přesun hmot pro vnitřní vodovod v objektech výšky do 6 m</t>
  </si>
  <si>
    <t>ZTI3</t>
  </si>
  <si>
    <t>Zařizovací předměty</t>
  </si>
  <si>
    <t>204</t>
  </si>
  <si>
    <t>725103UMsIM</t>
  </si>
  <si>
    <t>Umyvadlo keramické závěsné na podomítkový modul, Dodávka+montáž</t>
  </si>
  <si>
    <t>ZTI3_</t>
  </si>
  <si>
    <t>205</t>
  </si>
  <si>
    <t>725R01IM</t>
  </si>
  <si>
    <t>Ohřívač elektrický, zásobníkový, BTO 5 IN, včetně bezpečnostní sestavy, Dodávka+montáž</t>
  </si>
  <si>
    <t>206</t>
  </si>
  <si>
    <t>998725101R00IM</t>
  </si>
  <si>
    <t>Přesun hmot pro zařizovací předměty v objektech výšky do 6 m</t>
  </si>
  <si>
    <t>ÚT1</t>
  </si>
  <si>
    <t>Rozvod potrubí</t>
  </si>
  <si>
    <t>207</t>
  </si>
  <si>
    <t>733163512R00IM</t>
  </si>
  <si>
    <t>Potrubí pro vytápění a chlazení z trubek měděných spojovaných lisováním d 15 mm, s 1,0 mm</t>
  </si>
  <si>
    <t>ÚT1_</t>
  </si>
  <si>
    <t>208</t>
  </si>
  <si>
    <t>722160811R00IM</t>
  </si>
  <si>
    <t>Demontáž potrubí z měděných trubek do D 28 mm</t>
  </si>
  <si>
    <t>209</t>
  </si>
  <si>
    <t>722182014RT1IM</t>
  </si>
  <si>
    <t>Montáž tepelné izolace potrubí lepicí páska, sponky, přes DN 25 do DN 40</t>
  </si>
  <si>
    <t>210</t>
  </si>
  <si>
    <t>733190106R00IM</t>
  </si>
  <si>
    <t>Tlaková zkouška potrubí ocelových závitových, plastových, měděných do DN 32</t>
  </si>
  <si>
    <t>211</t>
  </si>
  <si>
    <t>733_R.1.1IM</t>
  </si>
  <si>
    <t>Plastová příchytka 15 s klipem + montáž</t>
  </si>
  <si>
    <t>212</t>
  </si>
  <si>
    <t>998733101R00IM</t>
  </si>
  <si>
    <t>Přesun hmot pro rozvody potrubí v objektech výšky do 6 m</t>
  </si>
  <si>
    <t>213</t>
  </si>
  <si>
    <t>283771005IM</t>
  </si>
  <si>
    <t>Výrobek izolační pro instalace z polyethylenové pěny (PEF) tvar: pouzdro; s podélným nářezem; vnitřní d = 15 mm; tl = 6 mm; provozní teplota -40 až 90</t>
  </si>
  <si>
    <t>ÚT2</t>
  </si>
  <si>
    <t>Armatury</t>
  </si>
  <si>
    <t>214</t>
  </si>
  <si>
    <t>722220872R00IM</t>
  </si>
  <si>
    <t>Demontáž armatur závitových se závitem a šroubením, G 3/4"</t>
  </si>
  <si>
    <t>ÚT2_</t>
  </si>
  <si>
    <t>215</t>
  </si>
  <si>
    <t>734213123R00IM</t>
  </si>
  <si>
    <t>Ventil odvzdušňovací, ruční, mosazný, PN 10, DN 15, včetně dodávky materiálu</t>
  </si>
  <si>
    <t>216</t>
  </si>
  <si>
    <t>734_R.01IM</t>
  </si>
  <si>
    <t>(D+M) Termostatická sada ventilů pro přímé vnější připojení, bílá, pro CU 15</t>
  </si>
  <si>
    <t>217</t>
  </si>
  <si>
    <t>998734101R00IM</t>
  </si>
  <si>
    <t>Přesun hmot pro armatury v objektech výšky do 6 m</t>
  </si>
  <si>
    <t>ÚT3</t>
  </si>
  <si>
    <t>Ostatní náklady pro rozvod ÚT</t>
  </si>
  <si>
    <t>218</t>
  </si>
  <si>
    <t>735000912R00IM</t>
  </si>
  <si>
    <t>Regulace otopného systému při opravách vyregulování dvojregulačních ventilů a kohoutů s termostatickým ovládáním</t>
  </si>
  <si>
    <t>ÚT3_</t>
  </si>
  <si>
    <t>219</t>
  </si>
  <si>
    <t>735151821R00IM</t>
  </si>
  <si>
    <t>Demontáž otopných těles panelových dvouřadých, stavební délky do 1500 mm</t>
  </si>
  <si>
    <t>220</t>
  </si>
  <si>
    <t>735192923R00IM</t>
  </si>
  <si>
    <t>Ostatní opravy otopných těles zpětná montáž otopných těles panelových  dvouřadých, do 150 mm</t>
  </si>
  <si>
    <t>221</t>
  </si>
  <si>
    <t>735291800R00IM</t>
  </si>
  <si>
    <t>Demontáž konzol nebo držáků otopných těles, registrů, konvektorů do odpadu</t>
  </si>
  <si>
    <t>222</t>
  </si>
  <si>
    <t>735_R.01IM</t>
  </si>
  <si>
    <t>(D+M) Montáž horizontálního spirálního (2 řady) otopného tělesa v bílé barvě</t>
  </si>
  <si>
    <t>223</t>
  </si>
  <si>
    <t>998735101R00IM</t>
  </si>
  <si>
    <t>Přesun hmot pro otopná tělesa v objektech výšky do 6 m</t>
  </si>
  <si>
    <t>224</t>
  </si>
  <si>
    <t>799.001IM</t>
  </si>
  <si>
    <t>Doprava</t>
  </si>
  <si>
    <t>225</t>
  </si>
  <si>
    <t>799.002IM</t>
  </si>
  <si>
    <t>Stavební přípomoce</t>
  </si>
  <si>
    <t>226</t>
  </si>
  <si>
    <t>904      R02IM</t>
  </si>
  <si>
    <t>Hzs-zkousky v ramci montaz.praci, Topná zkouška</t>
  </si>
  <si>
    <t>227</t>
  </si>
  <si>
    <t>904      R03IM</t>
  </si>
  <si>
    <t>Hzs-zkousky v ramci montaz.praci, Revize výtahu a komplexní zkouška</t>
  </si>
  <si>
    <t>EL1</t>
  </si>
  <si>
    <t>Elektroinstalace - montáž</t>
  </si>
  <si>
    <t>228</t>
  </si>
  <si>
    <t>KIM</t>
  </si>
  <si>
    <t>Osazení a zapojení vestavného rozvaděče ozn. RPA,  vč. ukončení vodičů cca 120ks do 6mm2, 15ks do 16mm2</t>
  </si>
  <si>
    <t>EL1_</t>
  </si>
  <si>
    <t>229</t>
  </si>
  <si>
    <t>Přepínač č.5, IP40, do krabice</t>
  </si>
  <si>
    <t>230</t>
  </si>
  <si>
    <t>Žaluziový spínač č.1/0+1/0 s blokováním, do krabice</t>
  </si>
  <si>
    <t>231</t>
  </si>
  <si>
    <t>Průmyslový nástěnný prostorový termostat IP65 s odděleným čidlem</t>
  </si>
  <si>
    <t>232</t>
  </si>
  <si>
    <t>Spínač č.1 do vlhka, IP54, polozapuštěný</t>
  </si>
  <si>
    <t>233</t>
  </si>
  <si>
    <t>Podlahová univerzální krabice velikost 3 (24M) + rám pro podlahovou krytinu (rámeček plast), rozměru 244x244x120mm, osazena 4x zás. 16A/230V + T3 (8M)</t>
  </si>
  <si>
    <t>234</t>
  </si>
  <si>
    <t>Krabice IP54, nástěnná, šedá, malá 100x100x61mm</t>
  </si>
  <si>
    <t>235</t>
  </si>
  <si>
    <t>Trubka ohebná PVC prům.25mm pod omítku</t>
  </si>
  <si>
    <t>236</t>
  </si>
  <si>
    <t>Trubka korudovaná 75/61 (prostup do rozvaděče, přes stěnu, podlahu)</t>
  </si>
  <si>
    <t>237</t>
  </si>
  <si>
    <t>Svazkový ocelový držák pro 15ks a 30ks kabelů</t>
  </si>
  <si>
    <t>238</t>
  </si>
  <si>
    <t>Bezšroubová svorka do instal. krabice 5x0,5-2,5mm</t>
  </si>
  <si>
    <t>239</t>
  </si>
  <si>
    <t>Svorka na potrubí vč. pásku</t>
  </si>
  <si>
    <t>240</t>
  </si>
  <si>
    <t>Ekvipotenciální svorkovnice PE-12 pro ochranné místní pospojování v krabici KO125 a IP55</t>
  </si>
  <si>
    <t>241</t>
  </si>
  <si>
    <t>Ochranný spoj pevně 4-25mm (SEBT aj.)</t>
  </si>
  <si>
    <t>242</t>
  </si>
  <si>
    <t>Montáž kabelového štítku</t>
  </si>
  <si>
    <t>243</t>
  </si>
  <si>
    <t>Protipožární ucpávky - tmely, aj. - prostupy požárními úseky (5000ml)</t>
  </si>
  <si>
    <t>244</t>
  </si>
  <si>
    <t>Hmoždinky prům.8mm včetně vrutu</t>
  </si>
  <si>
    <t>245</t>
  </si>
  <si>
    <t>Svorka lámací 12ks 4mm</t>
  </si>
  <si>
    <t>246</t>
  </si>
  <si>
    <t>Připojení el. strojů a spotřebičů  (bojler, klima, pohony, stroje, vzt, stolů aj.)</t>
  </si>
  <si>
    <t>247</t>
  </si>
  <si>
    <t>LED svítidla ozn. A - N5 vč. příslušenství</t>
  </si>
  <si>
    <t>248</t>
  </si>
  <si>
    <t>Transformátor 50-150W, 230V-AC/24VDC (napájecí zdroj pro LED)</t>
  </si>
  <si>
    <t>249</t>
  </si>
  <si>
    <t>Bezhalogenový měděný kabel 2(3)x1,5 (vypínače)</t>
  </si>
  <si>
    <t>250</t>
  </si>
  <si>
    <t>Bezhalogenový měděný kabel 3x1,5</t>
  </si>
  <si>
    <t>251</t>
  </si>
  <si>
    <t>Bezhalogenový měděný kabel 5x1,5</t>
  </si>
  <si>
    <t>252</t>
  </si>
  <si>
    <t>Bezhalogenový měděný kabel 3x2,5</t>
  </si>
  <si>
    <t>253</t>
  </si>
  <si>
    <t>Bezhalogenový měděný kabel 5x2,5</t>
  </si>
  <si>
    <t>254</t>
  </si>
  <si>
    <t>Bezhalogenový měděný kabel 5x16</t>
  </si>
  <si>
    <t>255</t>
  </si>
  <si>
    <t>H07V (CY) 2,5 (rozvaděč + protah. drát)</t>
  </si>
  <si>
    <t>256</t>
  </si>
  <si>
    <t>Bezhalogenový měděný kabel 1x4 zž (místní pospojování aj.)</t>
  </si>
  <si>
    <t>257</t>
  </si>
  <si>
    <t>Bezhalogenový měděný kabel 1x6 zž (místní pospojování)</t>
  </si>
  <si>
    <t>258</t>
  </si>
  <si>
    <t>Bezhalogenový měděný kabel  1x16 zž - (hlavní a místní pospojování)</t>
  </si>
  <si>
    <t>259</t>
  </si>
  <si>
    <t>Sekání (vrtání) kapes 10x10x5  cihla</t>
  </si>
  <si>
    <t>260</t>
  </si>
  <si>
    <t>Sekání (vrtání) kapes 15x15x10</t>
  </si>
  <si>
    <t>261</t>
  </si>
  <si>
    <t>Řezání  rýh  3x3 cihla</t>
  </si>
  <si>
    <t>262</t>
  </si>
  <si>
    <t>Řezání  rýh  5x3 cihla</t>
  </si>
  <si>
    <t>263</t>
  </si>
  <si>
    <t>Řezání  rýh  7x5 cihla</t>
  </si>
  <si>
    <t>264</t>
  </si>
  <si>
    <t>Sekání  rýh  15x5 cihla</t>
  </si>
  <si>
    <t>265</t>
  </si>
  <si>
    <t>Vrtání zdí 15cm cihla do průměru 10cm</t>
  </si>
  <si>
    <t>266</t>
  </si>
  <si>
    <t>Vrtání zdí 80cm cihla do průměru 10cm</t>
  </si>
  <si>
    <t>267</t>
  </si>
  <si>
    <t>Průraz stropem beton 30cm (silnoproud)</t>
  </si>
  <si>
    <t>268</t>
  </si>
  <si>
    <t>Vysekání (vyřezání) otvoru 1,1m2, do tl.300mm, cihla malt. cem. (ozn. RPA)</t>
  </si>
  <si>
    <t>269</t>
  </si>
  <si>
    <t>Vnitrostaveništní doprava suti a vybouraných hmot vodorovně do 50 m, svisle ručně pro budovy a haly výšky do 9 m</t>
  </si>
  <si>
    <t>270</t>
  </si>
  <si>
    <t>Odvoz suti a vybouraných hmot na skládku nebo meziskládku do 10 km od místa stavby se složením</t>
  </si>
  <si>
    <t>271</t>
  </si>
  <si>
    <t>Poplatek za uložení stavebního odpadu na skládce (skládkovné) směsného stavebního a demoličního</t>
  </si>
  <si>
    <t>272</t>
  </si>
  <si>
    <t>Lešení pomocné pracovní pro objekty pozemních staveb pro zatížení do 150 kg/m2, o výšce lešeňové podlahy do 1,9 m</t>
  </si>
  <si>
    <t>273</t>
  </si>
  <si>
    <t>Příprava staveniště</t>
  </si>
  <si>
    <t>274</t>
  </si>
  <si>
    <t>Vyměřování svítidel, zásuvek, spínačů, kab. tras, vyhledání stáv. instalce aj.</t>
  </si>
  <si>
    <t>275</t>
  </si>
  <si>
    <t>Demontáž st. elektroinstalace v 1.NP, úprava, přepojení, aj.</t>
  </si>
  <si>
    <t>276</t>
  </si>
  <si>
    <t>Spolupráce s revizním technikem</t>
  </si>
  <si>
    <t>277</t>
  </si>
  <si>
    <t>Výchozí revize včetně revizní zprávy (elektroinstalace)</t>
  </si>
  <si>
    <t>278</t>
  </si>
  <si>
    <t>Výkresová dokumentace skutečného provedení stavby, půdorysy + rozvaděče (h)</t>
  </si>
  <si>
    <t>279</t>
  </si>
  <si>
    <t>Koordinační činnost s ostatními profesemi</t>
  </si>
  <si>
    <t>280</t>
  </si>
  <si>
    <t>Komplexní přezkoušení - oživení</t>
  </si>
  <si>
    <t>281</t>
  </si>
  <si>
    <t>Státní odborný dozor organizace TIČR dle NV č.190/2022 Sb</t>
  </si>
  <si>
    <t>EL2</t>
  </si>
  <si>
    <t>Elektroinstalace - materiál</t>
  </si>
  <si>
    <t>282</t>
  </si>
  <si>
    <t>MIM</t>
  </si>
  <si>
    <t>Smontovaný podružný vestavný oceloplechový rozvaděč, ozn. RPA, rozměr (šxvxh) 586x1193x210mm, krytí IP30/20, provedení EI 30 DP1-Sm, 168M, v rozvaděči</t>
  </si>
  <si>
    <t>EL2_</t>
  </si>
  <si>
    <t>283</t>
  </si>
  <si>
    <t>Přepínač č.5, IP40, bílý-lesk, do krabice</t>
  </si>
  <si>
    <t>284</t>
  </si>
  <si>
    <t>Žaluziový spínač č.1/0+1/0 s blokováním, bílý-lesk, IP40</t>
  </si>
  <si>
    <t>285</t>
  </si>
  <si>
    <t>Průmyslový nástěnný diferenční termostat -20°C a +30 °C, IP65, 16A/230V, +2,5m (Severní strana)</t>
  </si>
  <si>
    <t>286</t>
  </si>
  <si>
    <t>Zásuvka do vlhka 16A/230V, IP54, bílá, nástěnná</t>
  </si>
  <si>
    <t>287</t>
  </si>
  <si>
    <t>288</t>
  </si>
  <si>
    <t>Krabice IP54, nástěnná, šedá, malá 100x100x50mm</t>
  </si>
  <si>
    <t>289</t>
  </si>
  <si>
    <t>Trubka ohebná PVC, prům.25mm (sporák. spín. aj.)</t>
  </si>
  <si>
    <t>290</t>
  </si>
  <si>
    <t>Trubka korudovaná 75/61 (HDV, prostup do rozvaděče, stěnu, podlahu)</t>
  </si>
  <si>
    <t>291</t>
  </si>
  <si>
    <t>Svazkový ocelový držák pro 15ks kabelů (do podhledu SDK)</t>
  </si>
  <si>
    <t>292</t>
  </si>
  <si>
    <t>293</t>
  </si>
  <si>
    <t>Svorka na potrubí pro OP</t>
  </si>
  <si>
    <t>294</t>
  </si>
  <si>
    <t>Pásek Cu 30cm pro svorku</t>
  </si>
  <si>
    <t>295</t>
  </si>
  <si>
    <t>296</t>
  </si>
  <si>
    <t>Štítek z PVC na označení kabelu</t>
  </si>
  <si>
    <t>297</t>
  </si>
  <si>
    <t>Protipožární ucpávky - tmely - prostupy požárními úseky (5000ml)</t>
  </si>
  <si>
    <t>298</t>
  </si>
  <si>
    <t>Stavební hřebíky 100</t>
  </si>
  <si>
    <t>299</t>
  </si>
  <si>
    <t>Páska izolační PVC 19/30m</t>
  </si>
  <si>
    <t>300</t>
  </si>
  <si>
    <t>Sádra bílá</t>
  </si>
  <si>
    <t>301</t>
  </si>
  <si>
    <t>Hmoždinky prům.8mm (běžné trasy - zdivo, SDK)</t>
  </si>
  <si>
    <t>302</t>
  </si>
  <si>
    <t>Vruty chromované (běžné trasy - zdivo, SDK)</t>
  </si>
  <si>
    <t>303</t>
  </si>
  <si>
    <t>304</t>
  </si>
  <si>
    <t>N1 - Nouzové LED svítidlo pro nouzové osvětlení v klidu s min. 0,5 luxu dle EN 1838, 2W/212lm, optika prostorová. Speciální konstrukce polykarbonátové</t>
  </si>
  <si>
    <t>305</t>
  </si>
  <si>
    <t>N2 - Nouzové LED svítidlo 5,1W/70lm, IP40, svíticí deska, LED svítidlo se značkou únikové cesty, montáž na zeď nebo na strop, 3-h noz. modul s manuáln</t>
  </si>
  <si>
    <t>306</t>
  </si>
  <si>
    <t>N3 - LED nouzové svítidlo pro osvětlení únikové cesty, vysoce výkonné LED diody. Svítidlo pro přisazenou montáž z polykarbonátu, možnost doplnit pikto</t>
  </si>
  <si>
    <t>307</t>
  </si>
  <si>
    <t>Ovládací prvek pro spouštění 3 světelných scén a řízení úrovně osvětlení pomocí DALI sběrnice v tělocvičně + napájecí jednotka sběrnice DALI, max.64 D</t>
  </si>
  <si>
    <t>308</t>
  </si>
  <si>
    <t>Kvalitní stmívatelný 24V/150W LED driver s konstantním napětím pro flexibilní LED pásky, DALI, rozměru 325x43x30 mm, IP20, bezpečnostní SELV</t>
  </si>
  <si>
    <t>309</t>
  </si>
  <si>
    <t>Ekologický příspěvek svítidla dle zákona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</si>
  <si>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</si>
  <si>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</si>
  <si>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</si>
  <si>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</si>
  <si>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</si>
  <si>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</si>
  <si>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</si>
  <si>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</si>
  <si>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</si>
  <si>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</si>
  <si>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EL3</t>
  </si>
  <si>
    <t>Elektroinstalace - VRN</t>
  </si>
  <si>
    <t>320</t>
  </si>
  <si>
    <t>210-0100RV</t>
  </si>
  <si>
    <t>VRN - Vedlejší rozpočtové náklady</t>
  </si>
  <si>
    <t>EL3_</t>
  </si>
  <si>
    <t>SLP01</t>
  </si>
  <si>
    <t>Strukturovaná kabeláž</t>
  </si>
  <si>
    <t>321</t>
  </si>
  <si>
    <t>SK01IM</t>
  </si>
  <si>
    <t>Cat 5e kabel nestíněný 23 AWG U/UTP 4 pár LSF/OH IEC 332.1 B2ca</t>
  </si>
  <si>
    <t>SLP01_</t>
  </si>
  <si>
    <t>322</t>
  </si>
  <si>
    <t>SK02IM</t>
  </si>
  <si>
    <t>Cat 5e Patch panel nestíněný, osazený, pro 24xRJ45/UTP, Cat. 6, KRONE 1U, černý,</t>
  </si>
  <si>
    <t>323</t>
  </si>
  <si>
    <t>SK03IM</t>
  </si>
  <si>
    <t>Cat 5e U/UTP  RJ45 - RJ45  Patch Cord  LS/OH  - 1m</t>
  </si>
  <si>
    <t>324</t>
  </si>
  <si>
    <t>SK04IM</t>
  </si>
  <si>
    <t>Zásuvka 1xRJ45 Cat.6 UTP, komplet - pod omítku</t>
  </si>
  <si>
    <t>325</t>
  </si>
  <si>
    <t>SK05IM</t>
  </si>
  <si>
    <t>Zapojení vývodu SK UTP kat. 5e - zásuvka</t>
  </si>
  <si>
    <t>326</t>
  </si>
  <si>
    <t>SK06IM</t>
  </si>
  <si>
    <t>Zapojení vývodu SK UTP kat. 5e - rozváděč</t>
  </si>
  <si>
    <t>327</t>
  </si>
  <si>
    <t>SK07IM</t>
  </si>
  <si>
    <t>Certifikační měření kat.5e vč. protokolu</t>
  </si>
  <si>
    <t>328</t>
  </si>
  <si>
    <t>SK08IM</t>
  </si>
  <si>
    <t>Práce na stávajícím rozvaděči SK</t>
  </si>
  <si>
    <t>hod</t>
  </si>
  <si>
    <t>329</t>
  </si>
  <si>
    <t>SK09IM</t>
  </si>
  <si>
    <t>L3 - LED pásek, dodávka a montáž</t>
  </si>
  <si>
    <t>SLP02</t>
  </si>
  <si>
    <t>Poplachový zabezpečovací a tísňový systém</t>
  </si>
  <si>
    <t>330</t>
  </si>
  <si>
    <t>PZTS01IM</t>
  </si>
  <si>
    <t>PZTS koncentrátor, 8x vstup, 1x výstup 30V/1A, v krytu</t>
  </si>
  <si>
    <t>SLP02_</t>
  </si>
  <si>
    <t>331</t>
  </si>
  <si>
    <t>PZTS02IM</t>
  </si>
  <si>
    <t>PIR čidlo nástěnné, Quad senzor, 15m</t>
  </si>
  <si>
    <t>332</t>
  </si>
  <si>
    <t>PZTS03IM</t>
  </si>
  <si>
    <t>Rozboč. krabice, 10 svorek, Tamper, Plastová, bílá</t>
  </si>
  <si>
    <t>333</t>
  </si>
  <si>
    <t>PZTS04IM</t>
  </si>
  <si>
    <t>Magnetický kontakt, hliníkové pozdro, stupeň 2, bílý, kabel 3m.</t>
  </si>
  <si>
    <t>334</t>
  </si>
  <si>
    <t>PZTS05IM</t>
  </si>
  <si>
    <t>drobný propojovací a instalační materiál</t>
  </si>
  <si>
    <t>set</t>
  </si>
  <si>
    <t>335</t>
  </si>
  <si>
    <t>PZTS06IM</t>
  </si>
  <si>
    <t>stíněný šestižilový kabel pro PZTS, B2ca</t>
  </si>
  <si>
    <t>336</t>
  </si>
  <si>
    <t>PZTS07IM</t>
  </si>
  <si>
    <t>Spolupráce s jinými profesemi</t>
  </si>
  <si>
    <t>337</t>
  </si>
  <si>
    <t>PZTS08IM</t>
  </si>
  <si>
    <t>Oživení systému</t>
  </si>
  <si>
    <t>338</t>
  </si>
  <si>
    <t>PZTS09IM</t>
  </si>
  <si>
    <t>Elektrorevize systému</t>
  </si>
  <si>
    <t>339</t>
  </si>
  <si>
    <t>PZTS10IM</t>
  </si>
  <si>
    <t>Funkční zkouška systému</t>
  </si>
  <si>
    <t>340</t>
  </si>
  <si>
    <t>PZTS11IM</t>
  </si>
  <si>
    <t>Proškolení obsluhy a osob zodpovědných za údržbu</t>
  </si>
  <si>
    <t>SLP03</t>
  </si>
  <si>
    <t>Elektrická požární signalizace</t>
  </si>
  <si>
    <t>341</t>
  </si>
  <si>
    <t>EPS 01IM</t>
  </si>
  <si>
    <t>Vstupně/výstupní modul 4/2</t>
  </si>
  <si>
    <t>SLP03_</t>
  </si>
  <si>
    <t>342</t>
  </si>
  <si>
    <t>EPS 02IM</t>
  </si>
  <si>
    <t>PVC Montážní krabice pro V/V modul</t>
  </si>
  <si>
    <t>343</t>
  </si>
  <si>
    <t>EPS 03IM</t>
  </si>
  <si>
    <t>Multisenzorový hlásič</t>
  </si>
  <si>
    <t>344</t>
  </si>
  <si>
    <t>EPS 04IM</t>
  </si>
  <si>
    <t>Patice pro hlásiče</t>
  </si>
  <si>
    <t>345</t>
  </si>
  <si>
    <t>EPS 05IM</t>
  </si>
  <si>
    <t>Tlačítkový hlásič</t>
  </si>
  <si>
    <t>346</t>
  </si>
  <si>
    <t>EPS 06IM</t>
  </si>
  <si>
    <t>Siréna s majákem, tř. W, červ. - červ.</t>
  </si>
  <si>
    <t>347</t>
  </si>
  <si>
    <t>EPS 07IM</t>
  </si>
  <si>
    <t>Napájecí zdroj 24V/3A, dle EN54, v krytu, prostor pro 2x Aku 12V/12Ah</t>
  </si>
  <si>
    <t>348</t>
  </si>
  <si>
    <t>EPS 08IM</t>
  </si>
  <si>
    <t>Akumulátor 12V/12Ah;</t>
  </si>
  <si>
    <t>349</t>
  </si>
  <si>
    <t>EPS 09IM</t>
  </si>
  <si>
    <t>Montážní a zkušební materiál</t>
  </si>
  <si>
    <t>350</t>
  </si>
  <si>
    <t>EPS 10IM</t>
  </si>
  <si>
    <t>Provozní kniha EPS</t>
  </si>
  <si>
    <t>351</t>
  </si>
  <si>
    <t>EPS 11IM</t>
  </si>
  <si>
    <t>KABEL PRAFlaCom oranžový stíněný kabel 2x2x0,8, B2ca s1d1a1</t>
  </si>
  <si>
    <t>352</t>
  </si>
  <si>
    <t>EPS 12IM</t>
  </si>
  <si>
    <t>Kabel s požární integritou –  PRAFlaGuard 2x2x0.8, PH120-R dle ZP-27/2008, B2caS1D0 dle PrEN</t>
  </si>
  <si>
    <t>353</t>
  </si>
  <si>
    <t>EPS 13IM</t>
  </si>
  <si>
    <t>Kabel požární integritou - PRAFlaDur 3x2.5 PH120-R B2caS1D0</t>
  </si>
  <si>
    <t>354</t>
  </si>
  <si>
    <t>EPS 14IM</t>
  </si>
  <si>
    <t>PW-PHSC-155-EPC, lin.tepl.det.(68,3°C)</t>
  </si>
  <si>
    <t>355</t>
  </si>
  <si>
    <t>EPS 15IM</t>
  </si>
  <si>
    <t>Příchytka teplotního kabelu, certifikovaná, vč. vrutu a hmoždinky</t>
  </si>
  <si>
    <t>356</t>
  </si>
  <si>
    <t>EPS 16IM</t>
  </si>
  <si>
    <t>Požárně odolná elektroinstalační krabice s keramickou svorkovnicí</t>
  </si>
  <si>
    <t>357</t>
  </si>
  <si>
    <t>EPS 17IM</t>
  </si>
  <si>
    <t>Vodič CYA6 ŽZ</t>
  </si>
  <si>
    <t>358</t>
  </si>
  <si>
    <t>EPS 18IM</t>
  </si>
  <si>
    <t>Jistič 1f/6A</t>
  </si>
  <si>
    <t>359</t>
  </si>
  <si>
    <t>EPS 19IM</t>
  </si>
  <si>
    <t>Trubka tuhá 1516E-KA vč.příchytky 5316E,hmoždinek,vrutů</t>
  </si>
  <si>
    <t>360</t>
  </si>
  <si>
    <t>EPS 20IM</t>
  </si>
  <si>
    <t>Držák samolepky pro vyznačení adresy pro označení senzoru (zásuvky senzoru) HW adresou.</t>
  </si>
  <si>
    <t>361</t>
  </si>
  <si>
    <t>EPS 21IM</t>
  </si>
  <si>
    <t>Samolepky s čísly adres - barva dle čísla kruhu</t>
  </si>
  <si>
    <t>362</t>
  </si>
  <si>
    <t>EPS 22IM</t>
  </si>
  <si>
    <t>Příchytka pro kabelovou trasu se zkouškou funkčnosti a integrity kabelové trasy dle ZP 27/2008 max. vzdálenost úchytek 0,3m, kabel pr.6-10 mm</t>
  </si>
  <si>
    <t>363</t>
  </si>
  <si>
    <t>EPS 23IM</t>
  </si>
  <si>
    <t>Příslušenství k příchytce dle ZP27/2008  - šroub do betonu</t>
  </si>
  <si>
    <t>364</t>
  </si>
  <si>
    <t>EPS 24IM</t>
  </si>
  <si>
    <t>Programování SW požárních ústředen EPS, uvedení do provozu</t>
  </si>
  <si>
    <t>365</t>
  </si>
  <si>
    <t>EPS 25IM</t>
  </si>
  <si>
    <t>Spolupráce při instalaci přenosu na PCO HZS, projekční práce, kontrolní činnosti, revize, koordinační zkoušky, doprava, aj.</t>
  </si>
  <si>
    <t>366</t>
  </si>
  <si>
    <t>EPS 26IM</t>
  </si>
  <si>
    <t>Demontáže prvků EPS v prostoru garáže (sirény, teplotní lineární kabel, příchytky, …)</t>
  </si>
  <si>
    <t>367</t>
  </si>
  <si>
    <t>EPS 27IM</t>
  </si>
  <si>
    <t>Přesun a montáže zdemontovaných prvků pod SDK</t>
  </si>
  <si>
    <t>368</t>
  </si>
  <si>
    <t>EPS 28IM</t>
  </si>
  <si>
    <t>Oživení systému, spolupráce s dodavateli dveří a VZT</t>
  </si>
  <si>
    <t>369</t>
  </si>
  <si>
    <t>EPS 29IM</t>
  </si>
  <si>
    <t>Práce na rozvaděči NN</t>
  </si>
  <si>
    <t>370</t>
  </si>
  <si>
    <t>EPS 30IM</t>
  </si>
  <si>
    <t>371</t>
  </si>
  <si>
    <t>EPS 31IM</t>
  </si>
  <si>
    <t>372</t>
  </si>
  <si>
    <t>EPS 32IM</t>
  </si>
  <si>
    <t>SLP04</t>
  </si>
  <si>
    <t>Elektronická kontrola vstupu</t>
  </si>
  <si>
    <t>373</t>
  </si>
  <si>
    <t>EKV 01IM</t>
  </si>
  <si>
    <t>Čtečka bezkontaktních karet, do venkovního prostředí</t>
  </si>
  <si>
    <t>SLP04_</t>
  </si>
  <si>
    <t>374</t>
  </si>
  <si>
    <t>EKV 02IM</t>
  </si>
  <si>
    <t>Elektromechanický zámek 12-24VV, pro vnitřní i vnější dveře, certifikovaný do požárních a únikových dveří, bezpečnostní třída 3, vč. průchodky, kování</t>
  </si>
  <si>
    <t>375</t>
  </si>
  <si>
    <t>EKV 03IM</t>
  </si>
  <si>
    <t>Řídící jednotka pro max. 15 čteček, vč. napájecího zdroje, akumulátoru 112V/7AAh, krytu,.</t>
  </si>
  <si>
    <t>376</t>
  </si>
  <si>
    <t>EKV 04IM</t>
  </si>
  <si>
    <t>Reléový modul 5 relé, instalace do Řídící jednotky</t>
  </si>
  <si>
    <t>377</t>
  </si>
  <si>
    <t>EKV 05IM</t>
  </si>
  <si>
    <t>Rozboč. krabice, 10 svorek, Tamper, Plastová, bílá, IP66</t>
  </si>
  <si>
    <t>378</t>
  </si>
  <si>
    <t>EKV 06IM</t>
  </si>
  <si>
    <t>379</t>
  </si>
  <si>
    <t>EKV 07IM</t>
  </si>
  <si>
    <t>kabel FTP kat.5e, B2ca</t>
  </si>
  <si>
    <t>380</t>
  </si>
  <si>
    <t>EKV 08IM</t>
  </si>
  <si>
    <t>kabel 3x1.5 PH120-R B2ca</t>
  </si>
  <si>
    <t>381</t>
  </si>
  <si>
    <t>EKV 09IM</t>
  </si>
  <si>
    <t>382</t>
  </si>
  <si>
    <t>Spolupráce s dodavatelem dveří</t>
  </si>
  <si>
    <t>383</t>
  </si>
  <si>
    <t>EKV 10IM</t>
  </si>
  <si>
    <t>384</t>
  </si>
  <si>
    <t>EKV 11IM</t>
  </si>
  <si>
    <t>385</t>
  </si>
  <si>
    <t>EKV 12IM</t>
  </si>
  <si>
    <t>386</t>
  </si>
  <si>
    <t>EKV 13IM</t>
  </si>
  <si>
    <t>SLP05</t>
  </si>
  <si>
    <t>Kabelové trasy slaboproudých rozvodů</t>
  </si>
  <si>
    <t>387</t>
  </si>
  <si>
    <t>KT01IM</t>
  </si>
  <si>
    <t>Trubka ohebná PVC volně nebo pod omítkou 23 mm</t>
  </si>
  <si>
    <t>SLP05_</t>
  </si>
  <si>
    <t>388</t>
  </si>
  <si>
    <t>KT02IM</t>
  </si>
  <si>
    <t>Trubka ohebná PVC volně nebo pod omítkou 29 mm</t>
  </si>
  <si>
    <t>389</t>
  </si>
  <si>
    <t>KT03IM</t>
  </si>
  <si>
    <t>Lišta plastová vkládací 40x40_HD, bílá (serverovna)</t>
  </si>
  <si>
    <t>390</t>
  </si>
  <si>
    <t>KT04IM</t>
  </si>
  <si>
    <t>TR.OHEB.MONOF.1440/1</t>
  </si>
  <si>
    <t>391</t>
  </si>
  <si>
    <t>KT05IM</t>
  </si>
  <si>
    <t>Krabice univerzální KU 68/2-1901, se šroubky</t>
  </si>
  <si>
    <t>392</t>
  </si>
  <si>
    <t>KT06IM</t>
  </si>
  <si>
    <t>Krabice přístrojová, hluboká,</t>
  </si>
  <si>
    <t>393</t>
  </si>
  <si>
    <t>KT07IM</t>
  </si>
  <si>
    <t>Trubka plastová, pevná pr.20mm, světle šedá, vč. příchytek a hmoždinek</t>
  </si>
  <si>
    <t>394</t>
  </si>
  <si>
    <t>KT08IM</t>
  </si>
  <si>
    <t>Plastové příchytky na strop/zeď, pro max 6 kabelů do pr. 10mm, včetně hmoždinky a vrutu</t>
  </si>
  <si>
    <t>395</t>
  </si>
  <si>
    <t>KT09IM</t>
  </si>
  <si>
    <t>Stahovací pásky, šíře 4mm, délka 200mm, bal=100ks</t>
  </si>
  <si>
    <t>396</t>
  </si>
  <si>
    <t>KT10IM</t>
  </si>
  <si>
    <t>Hmoždinka do betonu 8mm</t>
  </si>
  <si>
    <t>397</t>
  </si>
  <si>
    <t>KT11IM</t>
  </si>
  <si>
    <t>Hmoždinka do cihly 8 mm</t>
  </si>
  <si>
    <t>398</t>
  </si>
  <si>
    <t>KT12IM</t>
  </si>
  <si>
    <t>Značení trasy trubkového vedení</t>
  </si>
  <si>
    <t>399</t>
  </si>
  <si>
    <t>KT13IM</t>
  </si>
  <si>
    <t>Vysekání kapsy v cihl. zdi, krabice do 100x100x50 mm</t>
  </si>
  <si>
    <t>400</t>
  </si>
  <si>
    <t>KT14IM</t>
  </si>
  <si>
    <t>Vysekání drážky v cihl. zdi do hl. 50 mm, š. do 70 mm</t>
  </si>
  <si>
    <t>401</t>
  </si>
  <si>
    <t>KT15IM</t>
  </si>
  <si>
    <t>Omítnutí rýhy, drážka do 50x100 mm, štuka</t>
  </si>
  <si>
    <t>402</t>
  </si>
  <si>
    <t>KT16IM</t>
  </si>
  <si>
    <t>Požární ucpávky dle PBŘ</t>
  </si>
  <si>
    <t>403</t>
  </si>
  <si>
    <t>KT17IM</t>
  </si>
  <si>
    <t>Sádra</t>
  </si>
  <si>
    <t>404</t>
  </si>
  <si>
    <t>KT18IM</t>
  </si>
  <si>
    <t>Průraz D=6cm, cihla 30cm</t>
  </si>
  <si>
    <t>405</t>
  </si>
  <si>
    <t>KT19IM</t>
  </si>
  <si>
    <t>Průraz D=6cm, cihla 45cm</t>
  </si>
  <si>
    <t>406</t>
  </si>
  <si>
    <t>KT20IM</t>
  </si>
  <si>
    <t>Průraz D=6cm, beton 30cm</t>
  </si>
  <si>
    <t>407</t>
  </si>
  <si>
    <t>KT21IM</t>
  </si>
  <si>
    <t>Průraz D=6cm, beton 45cm</t>
  </si>
  <si>
    <t>408</t>
  </si>
  <si>
    <t>KT22IM</t>
  </si>
  <si>
    <t>Práce na rozvaděčích NN</t>
  </si>
  <si>
    <t>409</t>
  </si>
  <si>
    <t>KT23IM</t>
  </si>
  <si>
    <t>Úklidové práce</t>
  </si>
  <si>
    <t>410</t>
  </si>
  <si>
    <t>KT24IM</t>
  </si>
  <si>
    <t>Popl.za ulozeni suti</t>
  </si>
  <si>
    <t>411</t>
  </si>
  <si>
    <t>KT25IM</t>
  </si>
  <si>
    <t>Svis doprava suti prve podlazi</t>
  </si>
  <si>
    <t>412</t>
  </si>
  <si>
    <t>KT26IM</t>
  </si>
  <si>
    <t>Odvoz suti na skladku do 1km</t>
  </si>
  <si>
    <t>413</t>
  </si>
  <si>
    <t>KT27IM</t>
  </si>
  <si>
    <t>Odvoz suti na skladku zkd 1km</t>
  </si>
  <si>
    <t>414</t>
  </si>
  <si>
    <t>KT28IM</t>
  </si>
  <si>
    <t>Spolupráce s ostatními profesemi</t>
  </si>
  <si>
    <t>415</t>
  </si>
  <si>
    <t>KT29IM</t>
  </si>
  <si>
    <t>Stavební výpomoce</t>
  </si>
  <si>
    <t>416</t>
  </si>
  <si>
    <t>KT30IM</t>
  </si>
  <si>
    <t>SLP06</t>
  </si>
  <si>
    <t>Ostatní náklady</t>
  </si>
  <si>
    <t>417</t>
  </si>
  <si>
    <t>399-01</t>
  </si>
  <si>
    <t>Celkem zkoušky, měření, revize</t>
  </si>
  <si>
    <t>SLP06_</t>
  </si>
  <si>
    <t>418</t>
  </si>
  <si>
    <t>399-02</t>
  </si>
  <si>
    <t>Celkem doprava, přesun hmot</t>
  </si>
  <si>
    <t>Celkem:</t>
  </si>
  <si>
    <t>Poznámka:</t>
  </si>
  <si>
    <t>T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</si>
  <si>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</si>
  <si>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</si>
  <si>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</si>
  <si>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</si>
  <si>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</si>
  <si>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</si>
  <si>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</si>
  <si>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</si>
  <si>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</si>
  <si>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</si>
  <si>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</si>
  <si>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</si>
  <si>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</si>
  <si>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</si>
  <si>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</si>
  <si>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</si>
  <si>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</si>
  <si>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</si>
  <si>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</si>
  <si>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</si>
  <si>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</si>
  <si>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</si>
  <si>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</si>
  <si>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</si>
  <si>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</si>
  <si>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</si>
  <si>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</si>
  <si>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</si>
  <si>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</si>
  <si>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</si>
  <si>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</si>
  <si>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</si>
  <si>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</si>
  <si>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</si>
  <si>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</si>
  <si>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</si>
  <si>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</si>
  <si>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</si>
  <si>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</si>
  <si>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</si>
  <si>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</si>
  <si>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</si>
  <si>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</si>
  <si>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</si>
  <si>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</si>
  <si>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</si>
  <si>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</si>
  <si>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</si>
  <si>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</si>
  <si>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</si>
  <si>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</si>
  <si>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</si>
  <si>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</si>
  <si>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</si>
  <si>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Výkaz výměr -  podskupiny</t>
  </si>
  <si>
    <t>Výkaz výměr</t>
  </si>
  <si>
    <t>Krycí list výkazu výměr</t>
  </si>
  <si>
    <t>Stavba celkem</t>
  </si>
  <si>
    <t>VZT celkem</t>
  </si>
  <si>
    <t>ZTI celkem</t>
  </si>
  <si>
    <t>ÚT celkem</t>
  </si>
  <si>
    <t>Elektroinstalace celkem</t>
  </si>
  <si>
    <t>SLP celkem</t>
  </si>
  <si>
    <t>Revizní dvířka do sádrokartonové příčky, 300 x 300 mm</t>
  </si>
  <si>
    <t>Pásek z poplastovaného plechu rš 50 mm</t>
  </si>
  <si>
    <t>Krycí a stěnová lišta z poplastovaného plechu, rš 160 + 80 mm, k uchycení fóliové krytiny ke stěně</t>
  </si>
  <si>
    <t>Deska izolační MW, tl. 30 mm, podélná vlákna, podlahová</t>
  </si>
  <si>
    <t>Nátěr protipožární třívrstvý R30</t>
  </si>
  <si>
    <t>Nátěr protipožární třívrstvý R45</t>
  </si>
  <si>
    <t>Čisticí kus se zvukovým útlumem - db20 - odpadní svislé, D 110 mm</t>
  </si>
  <si>
    <t>Vodoměr DN 15/SV, Q3 4 m3/hod. + M-Bus modul, Dodávka + montáž</t>
  </si>
  <si>
    <t>Ohřívač elektrický, zásobníkový, 5 litrů, včetně bezpečnostní sestavy, Dodávka+montáž</t>
  </si>
  <si>
    <t>Kabel oranžový stíněný kabel 2x2x0,8, B2ca s1d1a1</t>
  </si>
  <si>
    <t>Kabel s požární integritou –  2x2x0.8, PH120-R dle ZP-27/2008, B2caS1D0 dle PrEN</t>
  </si>
  <si>
    <t>Kabel požární integritou - 3x2.5 PH120-R B2caS1D0</t>
  </si>
  <si>
    <t>POKYNY PRO VYPLNĚNÍ VÝKAZU VÝMĚR</t>
  </si>
  <si>
    <t>1: vyplňují se pouze žlutě označené pole</t>
  </si>
  <si>
    <t>2: pokud není uvedeno jinak, jednotlivé položky ve výkazu výměr zahnují náklady na materiál i montáž</t>
  </si>
  <si>
    <t>Slezská univerzita v Opavě</t>
  </si>
  <si>
    <t>47813059/CZ47813059</t>
  </si>
  <si>
    <t>ATELIER 38 s.r.o.</t>
  </si>
  <si>
    <t>25858343/CZ25858343</t>
  </si>
  <si>
    <t>ATELIER 38,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</si>
</sst>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4" fontId="3" fillId="0" borderId="29" xfId="0" applyNumberFormat="1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4" fontId="9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51" xfId="0" applyFont="1" applyBorder="1" applyAlignment="1">
      <alignment horizontal="left" vertical="center"/>
    </xf>
    <xf numFmtId="4" fontId="9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4" fontId="9" fillId="0" borderId="46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2" borderId="45" xfId="0" applyNumberFormat="1" applyFont="1" applyFill="1" applyBorder="1" applyAlignment="1">
      <alignment horizontal="right" vertical="center"/>
    </xf>
    <xf numFmtId="4" fontId="8" fillId="2" borderId="50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69" xfId="0" applyFont="1" applyBorder="1" applyAlignment="1">
      <alignment horizontal="right" vertical="center"/>
    </xf>
    <xf numFmtId="4" fontId="3" fillId="0" borderId="48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4" fontId="3" fillId="0" borderId="73" xfId="0" applyNumberFormat="1" applyFont="1" applyBorder="1" applyAlignment="1">
      <alignment horizontal="right" vertical="center"/>
    </xf>
    <xf numFmtId="0" fontId="3" fillId="0" borderId="73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77" xfId="0" applyFont="1" applyBorder="1" applyAlignment="1">
      <alignment horizontal="right" vertical="center"/>
    </xf>
    <xf numFmtId="4" fontId="2" fillId="0" borderId="77" xfId="0" applyNumberFormat="1" applyFont="1" applyBorder="1" applyAlignment="1">
      <alignment horizontal="right" vertical="center"/>
    </xf>
    <xf numFmtId="4" fontId="3" fillId="0" borderId="71" xfId="0" applyNumberFormat="1" applyFont="1" applyBorder="1" applyAlignment="1">
      <alignment horizontal="right" vertical="center"/>
    </xf>
    <xf numFmtId="0" fontId="10" fillId="0" borderId="7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10" fillId="0" borderId="73" xfId="0" applyNumberFormat="1" applyFont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  <xf numFmtId="0" fontId="11" fillId="0" borderId="0" xfId="0" applyFont="1"/>
    <xf numFmtId="0" fontId="10" fillId="0" borderId="79" xfId="0" applyFont="1" applyBorder="1" applyAlignment="1">
      <alignment horizontal="left" vertical="center"/>
    </xf>
    <xf numFmtId="4" fontId="10" fillId="0" borderId="79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11" fillId="4" borderId="0" xfId="0" applyFont="1" applyFill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4" fontId="8" fillId="0" borderId="78" xfId="0" applyNumberFormat="1" applyFont="1" applyBorder="1" applyAlignment="1">
      <alignment horizontal="right" vertical="center"/>
    </xf>
    <xf numFmtId="0" fontId="8" fillId="0" borderId="75" xfId="0" applyFont="1" applyBorder="1" applyAlignment="1">
      <alignment horizontal="right" vertical="center"/>
    </xf>
    <xf numFmtId="0" fontId="8" fillId="0" borderId="76" xfId="0" applyFont="1" applyBorder="1" applyAlignment="1">
      <alignment horizontal="right" vertical="center"/>
    </xf>
    <xf numFmtId="0" fontId="13" fillId="3" borderId="73" xfId="0" applyFont="1" applyFill="1" applyBorder="1" applyAlignment="1" applyProtection="1">
      <alignment horizontal="center" vertical="center"/>
      <protection locked="0"/>
    </xf>
    <xf numFmtId="0" fontId="3" fillId="3" borderId="73" xfId="0" applyFont="1" applyFill="1" applyBorder="1" applyAlignment="1" applyProtection="1">
      <alignment horizontal="center" vertical="center"/>
      <protection locked="0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4" fontId="3" fillId="3" borderId="32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9" fillId="0" borderId="6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64" xfId="0" applyFont="1" applyBorder="1" applyAlignment="1" applyProtection="1">
      <alignment horizontal="left" vertical="center"/>
      <protection locked="0"/>
    </xf>
    <xf numFmtId="0" fontId="9" fillId="0" borderId="65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topLeftCell="A13" workbookViewId="0">
      <selection activeCell="K24" sqref="K24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12" t="s">
        <v>1374</v>
      </c>
      <c r="B1" s="90"/>
      <c r="C1" s="90"/>
      <c r="D1" s="90"/>
      <c r="E1" s="90"/>
      <c r="F1" s="90"/>
      <c r="G1" s="90"/>
      <c r="H1" s="90"/>
      <c r="I1" s="90"/>
    </row>
    <row r="2" spans="1:9" ht="14.4" x14ac:dyDescent="0.3">
      <c r="A2" s="91" t="s">
        <v>0</v>
      </c>
      <c r="B2" s="88"/>
      <c r="C2" s="95" t="str">
        <f>'Stavební rozpočet'!C5</f>
        <v>Zastřešení atria Slezské univerzity v Opavě</v>
      </c>
      <c r="D2" s="96"/>
      <c r="E2" s="80" t="s">
        <v>4</v>
      </c>
      <c r="F2" s="80" t="s">
        <v>1396</v>
      </c>
      <c r="G2" s="88"/>
      <c r="H2" s="80" t="s">
        <v>1318</v>
      </c>
      <c r="I2" s="113" t="s">
        <v>1397</v>
      </c>
    </row>
    <row r="3" spans="1:9" ht="15" customHeight="1" x14ac:dyDescent="0.3">
      <c r="A3" s="92"/>
      <c r="B3" s="81"/>
      <c r="C3" s="97"/>
      <c r="D3" s="97"/>
      <c r="E3" s="81"/>
      <c r="F3" s="81"/>
      <c r="G3" s="81"/>
      <c r="H3" s="81"/>
      <c r="I3" s="114"/>
    </row>
    <row r="4" spans="1:9" ht="14.4" x14ac:dyDescent="0.3">
      <c r="A4" s="93" t="s">
        <v>5</v>
      </c>
      <c r="B4" s="81"/>
      <c r="C4" s="82" t="str">
        <f>'Stavební rozpočet'!C7</f>
        <v>Stavební část a profese</v>
      </c>
      <c r="D4" s="81"/>
      <c r="E4" s="82" t="s">
        <v>8</v>
      </c>
      <c r="F4" s="82" t="s">
        <v>1398</v>
      </c>
      <c r="G4" s="81"/>
      <c r="H4" s="82" t="s">
        <v>1318</v>
      </c>
      <c r="I4" s="115" t="s">
        <v>1399</v>
      </c>
    </row>
    <row r="5" spans="1:9" ht="15" customHeight="1" x14ac:dyDescent="0.3">
      <c r="A5" s="92"/>
      <c r="B5" s="81"/>
      <c r="C5" s="81"/>
      <c r="D5" s="81"/>
      <c r="E5" s="81"/>
      <c r="F5" s="81"/>
      <c r="G5" s="81"/>
      <c r="H5" s="81"/>
      <c r="I5" s="114"/>
    </row>
    <row r="6" spans="1:9" ht="14.4" x14ac:dyDescent="0.3">
      <c r="A6" s="93" t="s">
        <v>9</v>
      </c>
      <c r="B6" s="81"/>
      <c r="C6" s="82" t="str">
        <f>'Stavební rozpočet'!C9</f>
        <v>Bezručovo náměstí 14, Opava, 746 01</v>
      </c>
      <c r="D6" s="81"/>
      <c r="E6" s="82" t="s">
        <v>12</v>
      </c>
      <c r="F6" s="184"/>
      <c r="G6" s="182"/>
      <c r="H6" s="82" t="s">
        <v>1318</v>
      </c>
      <c r="I6" s="183" t="s">
        <v>43</v>
      </c>
    </row>
    <row r="7" spans="1:9" ht="15" customHeight="1" x14ac:dyDescent="0.3">
      <c r="A7" s="92"/>
      <c r="B7" s="81"/>
      <c r="C7" s="81"/>
      <c r="D7" s="81"/>
      <c r="E7" s="81"/>
      <c r="F7" s="182"/>
      <c r="G7" s="182"/>
      <c r="H7" s="81"/>
      <c r="I7" s="183"/>
    </row>
    <row r="8" spans="1:9" ht="14.4" x14ac:dyDescent="0.3">
      <c r="A8" s="93" t="s">
        <v>7</v>
      </c>
      <c r="B8" s="81"/>
      <c r="C8" s="82"/>
      <c r="D8" s="81"/>
      <c r="E8" s="82" t="s">
        <v>11</v>
      </c>
      <c r="F8" s="82" t="str">
        <f>'Stavební rozpočet'!G9</f>
        <v xml:space="preserve"> </v>
      </c>
      <c r="G8" s="81"/>
      <c r="H8" s="81" t="s">
        <v>1319</v>
      </c>
      <c r="I8" s="116">
        <v>418</v>
      </c>
    </row>
    <row r="9" spans="1:9" ht="14.4" x14ac:dyDescent="0.3">
      <c r="A9" s="92"/>
      <c r="B9" s="81"/>
      <c r="C9" s="81"/>
      <c r="D9" s="81"/>
      <c r="E9" s="81"/>
      <c r="F9" s="81"/>
      <c r="G9" s="81"/>
      <c r="H9" s="81"/>
      <c r="I9" s="114"/>
    </row>
    <row r="10" spans="1:9" ht="14.4" x14ac:dyDescent="0.3">
      <c r="A10" s="93" t="s">
        <v>13</v>
      </c>
      <c r="B10" s="81"/>
      <c r="C10" s="82" t="str">
        <f>'Stavební rozpočet'!C11</f>
        <v xml:space="preserve"> </v>
      </c>
      <c r="D10" s="81"/>
      <c r="E10" s="82" t="s">
        <v>15</v>
      </c>
      <c r="F10" s="82">
        <f>'Stavební rozpočet'!I11</f>
        <v>0</v>
      </c>
      <c r="G10" s="81"/>
      <c r="H10" s="81" t="s">
        <v>1320</v>
      </c>
      <c r="I10" s="117">
        <f>'Stavební rozpočet'!G11</f>
        <v>0</v>
      </c>
    </row>
    <row r="11" spans="1:9" ht="14.4" x14ac:dyDescent="0.3">
      <c r="A11" s="122"/>
      <c r="B11" s="111"/>
      <c r="C11" s="111"/>
      <c r="D11" s="111"/>
      <c r="E11" s="111"/>
      <c r="F11" s="111"/>
      <c r="G11" s="111"/>
      <c r="H11" s="111"/>
      <c r="I11" s="118"/>
    </row>
    <row r="12" spans="1:9" ht="22.8" x14ac:dyDescent="0.3">
      <c r="A12" s="119" t="s">
        <v>1321</v>
      </c>
      <c r="B12" s="119"/>
      <c r="C12" s="119"/>
      <c r="D12" s="119"/>
      <c r="E12" s="119"/>
      <c r="F12" s="119"/>
      <c r="G12" s="119"/>
      <c r="H12" s="119"/>
      <c r="I12" s="119"/>
    </row>
    <row r="13" spans="1:9" ht="26.25" customHeight="1" x14ac:dyDescent="0.3">
      <c r="A13" s="44" t="s">
        <v>1322</v>
      </c>
      <c r="B13" s="120" t="s">
        <v>1323</v>
      </c>
      <c r="C13" s="121"/>
      <c r="D13" s="45" t="s">
        <v>1324</v>
      </c>
      <c r="E13" s="120" t="s">
        <v>1325</v>
      </c>
      <c r="F13" s="121"/>
      <c r="G13" s="45" t="s">
        <v>1326</v>
      </c>
      <c r="H13" s="120" t="s">
        <v>1327</v>
      </c>
      <c r="I13" s="121"/>
    </row>
    <row r="14" spans="1:9" ht="15.6" x14ac:dyDescent="0.3">
      <c r="A14" s="46" t="s">
        <v>1328</v>
      </c>
      <c r="B14" s="47" t="s">
        <v>1329</v>
      </c>
      <c r="C14" s="48">
        <f>SUM('Stavební rozpočet'!AB15:AB941)</f>
        <v>0</v>
      </c>
      <c r="D14" s="129" t="s">
        <v>1330</v>
      </c>
      <c r="E14" s="130"/>
      <c r="F14" s="48">
        <f>VORN!I15</f>
        <v>0</v>
      </c>
      <c r="G14" s="129" t="s">
        <v>1331</v>
      </c>
      <c r="H14" s="130"/>
      <c r="I14" s="49">
        <f>VORN!I21</f>
        <v>0</v>
      </c>
    </row>
    <row r="15" spans="1:9" ht="15.6" x14ac:dyDescent="0.3">
      <c r="A15" s="50" t="s">
        <v>43</v>
      </c>
      <c r="B15" s="47" t="s">
        <v>29</v>
      </c>
      <c r="C15" s="48">
        <f>SUM('Stavební rozpočet'!AC15:AC941)</f>
        <v>0</v>
      </c>
      <c r="D15" s="129" t="s">
        <v>1332</v>
      </c>
      <c r="E15" s="130"/>
      <c r="F15" s="48">
        <f>VORN!I16</f>
        <v>0</v>
      </c>
      <c r="G15" s="129" t="s">
        <v>1333</v>
      </c>
      <c r="H15" s="130"/>
      <c r="I15" s="49">
        <f>VORN!I22</f>
        <v>0</v>
      </c>
    </row>
    <row r="16" spans="1:9" ht="15.6" x14ac:dyDescent="0.3">
      <c r="A16" s="46" t="s">
        <v>1334</v>
      </c>
      <c r="B16" s="47" t="s">
        <v>1329</v>
      </c>
      <c r="C16" s="48">
        <f>SUM('Stavební rozpočet'!AD15:AD941)</f>
        <v>0</v>
      </c>
      <c r="D16" s="129" t="s">
        <v>1335</v>
      </c>
      <c r="E16" s="130"/>
      <c r="F16" s="48">
        <f>VORN!I17</f>
        <v>0</v>
      </c>
      <c r="G16" s="129" t="s">
        <v>1336</v>
      </c>
      <c r="H16" s="130"/>
      <c r="I16" s="49">
        <f>VORN!I23</f>
        <v>0</v>
      </c>
    </row>
    <row r="17" spans="1:9" ht="15.6" x14ac:dyDescent="0.3">
      <c r="A17" s="50" t="s">
        <v>43</v>
      </c>
      <c r="B17" s="47" t="s">
        <v>29</v>
      </c>
      <c r="C17" s="48">
        <f>SUM('Stavební rozpočet'!AE15:AE941)</f>
        <v>0</v>
      </c>
      <c r="D17" s="129" t="s">
        <v>43</v>
      </c>
      <c r="E17" s="130"/>
      <c r="F17" s="49" t="s">
        <v>43</v>
      </c>
      <c r="G17" s="129" t="s">
        <v>1337</v>
      </c>
      <c r="H17" s="130"/>
      <c r="I17" s="49">
        <f>VORN!I24</f>
        <v>0</v>
      </c>
    </row>
    <row r="18" spans="1:9" ht="15.6" x14ac:dyDescent="0.3">
      <c r="A18" s="46" t="s">
        <v>1338</v>
      </c>
      <c r="B18" s="47" t="s">
        <v>1329</v>
      </c>
      <c r="C18" s="48">
        <f>SUM('Stavební rozpočet'!AF15:AF941)</f>
        <v>0</v>
      </c>
      <c r="D18" s="129" t="s">
        <v>43</v>
      </c>
      <c r="E18" s="130"/>
      <c r="F18" s="49" t="s">
        <v>43</v>
      </c>
      <c r="G18" s="129" t="s">
        <v>1339</v>
      </c>
      <c r="H18" s="130"/>
      <c r="I18" s="49">
        <f>VORN!I25</f>
        <v>0</v>
      </c>
    </row>
    <row r="19" spans="1:9" ht="15.6" x14ac:dyDescent="0.3">
      <c r="A19" s="50" t="s">
        <v>43</v>
      </c>
      <c r="B19" s="47" t="s">
        <v>29</v>
      </c>
      <c r="C19" s="48">
        <f>SUM('Stavební rozpočet'!AG15:AG941)</f>
        <v>0</v>
      </c>
      <c r="D19" s="129" t="s">
        <v>43</v>
      </c>
      <c r="E19" s="130"/>
      <c r="F19" s="49" t="s">
        <v>43</v>
      </c>
      <c r="G19" s="129" t="s">
        <v>1340</v>
      </c>
      <c r="H19" s="130"/>
      <c r="I19" s="49">
        <f>VORN!I26</f>
        <v>0</v>
      </c>
    </row>
    <row r="20" spans="1:9" ht="15.6" x14ac:dyDescent="0.3">
      <c r="A20" s="123" t="s">
        <v>1341</v>
      </c>
      <c r="B20" s="124"/>
      <c r="C20" s="48">
        <f>SUM('Stavební rozpočet'!AH15:AH941)</f>
        <v>0</v>
      </c>
      <c r="D20" s="129" t="s">
        <v>43</v>
      </c>
      <c r="E20" s="130"/>
      <c r="F20" s="49" t="s">
        <v>43</v>
      </c>
      <c r="G20" s="129" t="s">
        <v>43</v>
      </c>
      <c r="H20" s="130"/>
      <c r="I20" s="49" t="s">
        <v>43</v>
      </c>
    </row>
    <row r="21" spans="1:9" ht="15.6" x14ac:dyDescent="0.3">
      <c r="A21" s="125" t="s">
        <v>1342</v>
      </c>
      <c r="B21" s="126"/>
      <c r="C21" s="51">
        <f>SUM('Stavební rozpočet'!Z15:Z941)</f>
        <v>0</v>
      </c>
      <c r="D21" s="131" t="s">
        <v>43</v>
      </c>
      <c r="E21" s="132"/>
      <c r="F21" s="52" t="s">
        <v>43</v>
      </c>
      <c r="G21" s="131" t="s">
        <v>43</v>
      </c>
      <c r="H21" s="132"/>
      <c r="I21" s="52" t="s">
        <v>43</v>
      </c>
    </row>
    <row r="22" spans="1:9" ht="16.5" customHeight="1" x14ac:dyDescent="0.3">
      <c r="A22" s="127" t="s">
        <v>1343</v>
      </c>
      <c r="B22" s="128"/>
      <c r="C22" s="53">
        <f>ROUND(SUM(C14:C21),2)</f>
        <v>0</v>
      </c>
      <c r="D22" s="133" t="s">
        <v>1344</v>
      </c>
      <c r="E22" s="128"/>
      <c r="F22" s="53">
        <f>SUM(F14:F21)</f>
        <v>0</v>
      </c>
      <c r="G22" s="133" t="s">
        <v>1345</v>
      </c>
      <c r="H22" s="128"/>
      <c r="I22" s="53">
        <f>SUM(I14:I21)</f>
        <v>0</v>
      </c>
    </row>
    <row r="23" spans="1:9" ht="15.6" x14ac:dyDescent="0.3">
      <c r="D23" s="123" t="s">
        <v>1346</v>
      </c>
      <c r="E23" s="124"/>
      <c r="F23" s="54">
        <v>0</v>
      </c>
      <c r="G23" s="134" t="s">
        <v>1347</v>
      </c>
      <c r="H23" s="124"/>
      <c r="I23" s="48">
        <v>0</v>
      </c>
    </row>
    <row r="24" spans="1:9" ht="15.6" x14ac:dyDescent="0.3">
      <c r="G24" s="123" t="s">
        <v>1348</v>
      </c>
      <c r="H24" s="124"/>
      <c r="I24" s="51">
        <f>vorn_sum</f>
        <v>0</v>
      </c>
    </row>
    <row r="25" spans="1:9" ht="15.6" x14ac:dyDescent="0.3">
      <c r="G25" s="123" t="s">
        <v>1349</v>
      </c>
      <c r="H25" s="124"/>
      <c r="I25" s="53">
        <v>0</v>
      </c>
    </row>
    <row r="27" spans="1:9" ht="15.6" x14ac:dyDescent="0.3">
      <c r="A27" s="135" t="s">
        <v>1350</v>
      </c>
      <c r="B27" s="136"/>
      <c r="C27" s="55">
        <f>ROUND(SUM('Stavební rozpočet'!AJ15:AJ941),2)</f>
        <v>0</v>
      </c>
    </row>
    <row r="28" spans="1:9" ht="15.6" x14ac:dyDescent="0.3">
      <c r="A28" s="137" t="s">
        <v>1351</v>
      </c>
      <c r="B28" s="138"/>
      <c r="C28" s="56">
        <f>ROUND(SUM('Stavební rozpočet'!AK15:AK941),2)</f>
        <v>0</v>
      </c>
      <c r="D28" s="139" t="s">
        <v>1352</v>
      </c>
      <c r="E28" s="136"/>
      <c r="F28" s="55">
        <f>ROUND(C28*(12/100),2)</f>
        <v>0</v>
      </c>
      <c r="G28" s="139" t="s">
        <v>1353</v>
      </c>
      <c r="H28" s="136"/>
      <c r="I28" s="55">
        <f>ROUND(SUM(C27:C29),2)</f>
        <v>0</v>
      </c>
    </row>
    <row r="29" spans="1:9" ht="15.6" x14ac:dyDescent="0.3">
      <c r="A29" s="137" t="s">
        <v>1354</v>
      </c>
      <c r="B29" s="138"/>
      <c r="C29" s="56">
        <f>ROUND(SUM('Stavební rozpočet'!AL15:AL941)+(F22+I22+F23+I23+I24+I25),2)</f>
        <v>0</v>
      </c>
      <c r="D29" s="140" t="s">
        <v>1355</v>
      </c>
      <c r="E29" s="138"/>
      <c r="F29" s="56">
        <f>ROUND(C29*(21/100),2)</f>
        <v>0</v>
      </c>
      <c r="G29" s="140" t="s">
        <v>1356</v>
      </c>
      <c r="H29" s="138"/>
      <c r="I29" s="56">
        <f>ROUND(SUM(F28:F29)+I28,2)</f>
        <v>0</v>
      </c>
    </row>
    <row r="31" spans="1:9" x14ac:dyDescent="0.3">
      <c r="A31" s="147" t="s">
        <v>1357</v>
      </c>
      <c r="B31" s="142"/>
      <c r="C31" s="143"/>
      <c r="D31" s="141" t="s">
        <v>1358</v>
      </c>
      <c r="E31" s="142"/>
      <c r="F31" s="143"/>
      <c r="G31" s="141" t="s">
        <v>1359</v>
      </c>
      <c r="H31" s="142"/>
      <c r="I31" s="143"/>
    </row>
    <row r="32" spans="1:9" x14ac:dyDescent="0.3">
      <c r="A32" s="185" t="s">
        <v>43</v>
      </c>
      <c r="B32" s="186"/>
      <c r="C32" s="187"/>
      <c r="D32" s="188" t="s">
        <v>43</v>
      </c>
      <c r="E32" s="186"/>
      <c r="F32" s="187"/>
      <c r="G32" s="188" t="s">
        <v>43</v>
      </c>
      <c r="H32" s="186"/>
      <c r="I32" s="187"/>
    </row>
    <row r="33" spans="1:9" x14ac:dyDescent="0.3">
      <c r="A33" s="185" t="s">
        <v>43</v>
      </c>
      <c r="B33" s="186"/>
      <c r="C33" s="187"/>
      <c r="D33" s="188" t="s">
        <v>43</v>
      </c>
      <c r="E33" s="186"/>
      <c r="F33" s="187"/>
      <c r="G33" s="188" t="s">
        <v>43</v>
      </c>
      <c r="H33" s="186"/>
      <c r="I33" s="187"/>
    </row>
    <row r="34" spans="1:9" x14ac:dyDescent="0.3">
      <c r="A34" s="185" t="s">
        <v>43</v>
      </c>
      <c r="B34" s="186"/>
      <c r="C34" s="187"/>
      <c r="D34" s="188" t="s">
        <v>43</v>
      </c>
      <c r="E34" s="186"/>
      <c r="F34" s="187"/>
      <c r="G34" s="188" t="s">
        <v>43</v>
      </c>
      <c r="H34" s="186"/>
      <c r="I34" s="187"/>
    </row>
    <row r="35" spans="1:9" x14ac:dyDescent="0.3">
      <c r="A35" s="148" t="s">
        <v>1360</v>
      </c>
      <c r="B35" s="145"/>
      <c r="C35" s="146"/>
      <c r="D35" s="144" t="s">
        <v>1360</v>
      </c>
      <c r="E35" s="145"/>
      <c r="F35" s="146"/>
      <c r="G35" s="144" t="s">
        <v>1360</v>
      </c>
      <c r="H35" s="145"/>
      <c r="I35" s="146"/>
    </row>
    <row r="36" spans="1:9" ht="14.4" x14ac:dyDescent="0.3">
      <c r="A36" s="57" t="s">
        <v>1316</v>
      </c>
    </row>
    <row r="37" spans="1:9" ht="12.75" customHeight="1" x14ac:dyDescent="0.3">
      <c r="A37" s="82" t="s">
        <v>43</v>
      </c>
      <c r="B37" s="81"/>
      <c r="C37" s="81"/>
      <c r="D37" s="81"/>
      <c r="E37" s="81"/>
      <c r="F37" s="81"/>
      <c r="G37" s="81"/>
      <c r="H37" s="81"/>
      <c r="I37" s="81"/>
    </row>
  </sheetData>
  <sheetProtection algorithmName="SHA-512" hashValue="KsFk5otTQDf0n0flEOIj1h77oKgc8ymn8pZGPvJYO1+cqhMNTayYQziLd1NRgKHxpPXtj/0jSYkB4Tb5tIPDPw==" saltValue="IZeHBVVn05HQo6cYo3m9PQ==" spinCount="100000" sheet="1" objects="1" scenarios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0"/>
  <sheetViews>
    <sheetView workbookViewId="0">
      <pane ySplit="11" topLeftCell="A34" activePane="bottomLeft" state="frozen"/>
      <selection pane="bottomLeft" activeCell="K65" sqref="K65"/>
    </sheetView>
  </sheetViews>
  <sheetFormatPr defaultColWidth="12.109375" defaultRowHeight="15" customHeight="1" x14ac:dyDescent="0.3"/>
  <cols>
    <col min="1" max="1" width="5.6640625" customWidth="1"/>
    <col min="2" max="9" width="15.6640625" customWidth="1"/>
    <col min="10" max="12" width="14.33203125" customWidth="1"/>
    <col min="13" max="16" width="12.109375" hidden="1"/>
  </cols>
  <sheetData>
    <row r="1" spans="1:16" ht="54.75" customHeight="1" x14ac:dyDescent="0.3">
      <c r="A1" s="89" t="s">
        <v>1372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6" ht="14.4" x14ac:dyDescent="0.3">
      <c r="A2" s="91" t="s">
        <v>0</v>
      </c>
      <c r="B2" s="88"/>
      <c r="C2" s="88"/>
      <c r="D2" s="95" t="str">
        <f>'Stavební rozpočet'!C5</f>
        <v>Zastřešení atria Slezské univerzity v Opavě</v>
      </c>
      <c r="E2" s="96"/>
      <c r="F2" s="96"/>
      <c r="G2" s="80" t="s">
        <v>2</v>
      </c>
      <c r="H2" s="80" t="str">
        <f>'Stavební rozpočet'!G5</f>
        <v xml:space="preserve"> </v>
      </c>
      <c r="I2" s="80" t="s">
        <v>4</v>
      </c>
      <c r="J2" s="149" t="s">
        <v>1396</v>
      </c>
      <c r="K2" s="88"/>
      <c r="L2" s="113"/>
    </row>
    <row r="3" spans="1:16" ht="15" customHeight="1" x14ac:dyDescent="0.3">
      <c r="A3" s="92"/>
      <c r="B3" s="81"/>
      <c r="C3" s="81"/>
      <c r="D3" s="97"/>
      <c r="E3" s="97"/>
      <c r="F3" s="97"/>
      <c r="G3" s="81"/>
      <c r="H3" s="81"/>
      <c r="I3" s="81"/>
      <c r="J3" s="81"/>
      <c r="K3" s="81"/>
      <c r="L3" s="114"/>
    </row>
    <row r="4" spans="1:16" ht="14.4" x14ac:dyDescent="0.3">
      <c r="A4" s="93" t="s">
        <v>5</v>
      </c>
      <c r="B4" s="81"/>
      <c r="C4" s="81"/>
      <c r="D4" s="82" t="str">
        <f>'Stavební rozpočet'!C7</f>
        <v>Stavební část a profese</v>
      </c>
      <c r="E4" s="81"/>
      <c r="F4" s="81"/>
      <c r="G4" s="82" t="s">
        <v>7</v>
      </c>
      <c r="H4" s="82">
        <f>'Stavební rozpočet'!G7</f>
        <v>0</v>
      </c>
      <c r="I4" s="82" t="s">
        <v>8</v>
      </c>
      <c r="J4" s="150" t="s">
        <v>1400</v>
      </c>
      <c r="K4" s="81"/>
      <c r="L4" s="114"/>
    </row>
    <row r="5" spans="1:16" ht="15" customHeight="1" x14ac:dyDescent="0.3">
      <c r="A5" s="92"/>
      <c r="B5" s="81"/>
      <c r="C5" s="81"/>
      <c r="D5" s="81"/>
      <c r="E5" s="81"/>
      <c r="F5" s="81"/>
      <c r="G5" s="81"/>
      <c r="H5" s="81"/>
      <c r="I5" s="81"/>
      <c r="J5" s="81"/>
      <c r="K5" s="81"/>
      <c r="L5" s="114"/>
    </row>
    <row r="6" spans="1:16" ht="14.4" x14ac:dyDescent="0.3">
      <c r="A6" s="93" t="s">
        <v>9</v>
      </c>
      <c r="B6" s="81"/>
      <c r="C6" s="81"/>
      <c r="D6" s="82" t="str">
        <f>'Stavební rozpočet'!C9</f>
        <v>Bezručovo náměstí 14, Opava, 746 01</v>
      </c>
      <c r="E6" s="81"/>
      <c r="F6" s="81"/>
      <c r="G6" s="82" t="s">
        <v>11</v>
      </c>
      <c r="H6" s="82" t="str">
        <f>'Stavební rozpočet'!G9</f>
        <v xml:space="preserve"> </v>
      </c>
      <c r="I6" s="82" t="s">
        <v>12</v>
      </c>
      <c r="J6" s="184"/>
      <c r="K6" s="182"/>
      <c r="L6" s="183"/>
    </row>
    <row r="7" spans="1:16" ht="15" customHeight="1" x14ac:dyDescent="0.3">
      <c r="A7" s="92"/>
      <c r="B7" s="81"/>
      <c r="C7" s="81"/>
      <c r="D7" s="81"/>
      <c r="E7" s="81"/>
      <c r="F7" s="81"/>
      <c r="G7" s="81"/>
      <c r="H7" s="81"/>
      <c r="I7" s="81"/>
      <c r="J7" s="182"/>
      <c r="K7" s="182"/>
      <c r="L7" s="183"/>
    </row>
    <row r="8" spans="1:16" ht="14.4" x14ac:dyDescent="0.3">
      <c r="A8" s="93" t="s">
        <v>13</v>
      </c>
      <c r="B8" s="81"/>
      <c r="C8" s="81"/>
      <c r="D8" s="82" t="str">
        <f>'Stavební rozpočet'!C11</f>
        <v xml:space="preserve"> </v>
      </c>
      <c r="E8" s="81"/>
      <c r="F8" s="81"/>
      <c r="G8" s="82" t="s">
        <v>14</v>
      </c>
      <c r="H8" s="82">
        <f>'Stavební rozpočet'!G11</f>
        <v>0</v>
      </c>
      <c r="I8" s="82" t="s">
        <v>15</v>
      </c>
      <c r="J8" s="82">
        <f>'Stavební rozpočet'!I11</f>
        <v>0</v>
      </c>
      <c r="K8" s="81"/>
      <c r="L8" s="114"/>
    </row>
    <row r="9" spans="1:16" ht="14.4" x14ac:dyDescent="0.3">
      <c r="A9" s="94"/>
      <c r="B9" s="83"/>
      <c r="C9" s="83"/>
      <c r="D9" s="83"/>
      <c r="E9" s="83"/>
      <c r="F9" s="83"/>
      <c r="G9" s="83"/>
      <c r="H9" s="83"/>
      <c r="I9" s="83"/>
      <c r="J9" s="83"/>
      <c r="K9" s="83"/>
      <c r="L9" s="151"/>
    </row>
    <row r="10" spans="1:16" ht="14.4" x14ac:dyDescent="0.3">
      <c r="A10" s="37" t="s">
        <v>3</v>
      </c>
      <c r="B10" s="152" t="s">
        <v>3</v>
      </c>
      <c r="C10" s="153"/>
      <c r="D10" s="153"/>
      <c r="E10" s="153"/>
      <c r="F10" s="153"/>
      <c r="G10" s="153"/>
      <c r="H10" s="153"/>
      <c r="I10" s="154"/>
      <c r="J10" s="102" t="s">
        <v>22</v>
      </c>
      <c r="K10" s="103"/>
      <c r="L10" s="104"/>
    </row>
    <row r="11" spans="1:16" thickBot="1" x14ac:dyDescent="0.35">
      <c r="A11" s="38" t="s">
        <v>17</v>
      </c>
      <c r="B11" s="100" t="s">
        <v>18</v>
      </c>
      <c r="C11" s="155"/>
      <c r="D11" s="155"/>
      <c r="E11" s="155"/>
      <c r="F11" s="155"/>
      <c r="G11" s="155"/>
      <c r="H11" s="155"/>
      <c r="I11" s="156"/>
      <c r="J11" s="15" t="s">
        <v>28</v>
      </c>
      <c r="K11" s="16" t="s">
        <v>29</v>
      </c>
      <c r="L11" s="17" t="s">
        <v>30</v>
      </c>
    </row>
    <row r="12" spans="1:16" ht="14.4" hidden="1" x14ac:dyDescent="0.3">
      <c r="A12" s="39" t="s">
        <v>44</v>
      </c>
      <c r="B12" s="157" t="s">
        <v>45</v>
      </c>
      <c r="C12" s="157"/>
      <c r="D12" s="157"/>
      <c r="E12" s="157"/>
      <c r="F12" s="157"/>
      <c r="G12" s="157"/>
      <c r="H12" s="157"/>
      <c r="I12" s="157"/>
      <c r="J12" s="40">
        <f>ROUND('Stavební rozpočet'!H15,2)</f>
        <v>0</v>
      </c>
      <c r="K12" s="40">
        <f>ROUND('Stavební rozpočet'!I15,2)</f>
        <v>0</v>
      </c>
      <c r="L12" s="41">
        <f>ROUND('Stavební rozpočet'!J15,2)</f>
        <v>0</v>
      </c>
      <c r="M12" s="42" t="s">
        <v>1317</v>
      </c>
      <c r="N12" s="24">
        <f t="shared" ref="N12:N56" si="0">IF(M12="F",0,L12)</f>
        <v>0</v>
      </c>
      <c r="O12" s="3" t="s">
        <v>43</v>
      </c>
      <c r="P12" s="24">
        <f t="shared" ref="P12:P56" si="1">IF(M12="T",0,L12)</f>
        <v>0</v>
      </c>
    </row>
    <row r="13" spans="1:16" ht="5.4" hidden="1" customHeight="1" x14ac:dyDescent="0.3">
      <c r="A13" s="2" t="s">
        <v>71</v>
      </c>
      <c r="B13" s="81" t="s">
        <v>72</v>
      </c>
      <c r="C13" s="81"/>
      <c r="D13" s="81"/>
      <c r="E13" s="81"/>
      <c r="F13" s="81"/>
      <c r="G13" s="81"/>
      <c r="H13" s="81"/>
      <c r="I13" s="81"/>
      <c r="J13" s="24">
        <f>ROUND('Stavební rozpočet'!H22,2)</f>
        <v>0</v>
      </c>
      <c r="K13" s="24">
        <f>ROUND('Stavební rozpočet'!I22,2)</f>
        <v>0</v>
      </c>
      <c r="L13" s="43">
        <f>ROUND('Stavební rozpočet'!J22,2)</f>
        <v>0</v>
      </c>
      <c r="M13" s="42" t="s">
        <v>1317</v>
      </c>
      <c r="N13" s="24">
        <f t="shared" si="0"/>
        <v>0</v>
      </c>
      <c r="O13" s="3" t="s">
        <v>43</v>
      </c>
      <c r="P13" s="24">
        <f t="shared" si="1"/>
        <v>0</v>
      </c>
    </row>
    <row r="14" spans="1:16" ht="14.4" hidden="1" x14ac:dyDescent="0.3">
      <c r="A14" s="2" t="s">
        <v>79</v>
      </c>
      <c r="B14" s="81" t="s">
        <v>80</v>
      </c>
      <c r="C14" s="81"/>
      <c r="D14" s="81"/>
      <c r="E14" s="81"/>
      <c r="F14" s="81"/>
      <c r="G14" s="81"/>
      <c r="H14" s="81"/>
      <c r="I14" s="81"/>
      <c r="J14" s="24">
        <f>ROUND('Stavební rozpočet'!H24,2)</f>
        <v>0</v>
      </c>
      <c r="K14" s="24">
        <f>ROUND('Stavební rozpočet'!I24,2)</f>
        <v>0</v>
      </c>
      <c r="L14" s="43">
        <f>ROUND('Stavební rozpočet'!J24,2)</f>
        <v>0</v>
      </c>
      <c r="M14" s="42" t="s">
        <v>1317</v>
      </c>
      <c r="N14" s="24">
        <f t="shared" si="0"/>
        <v>0</v>
      </c>
      <c r="O14" s="3" t="s">
        <v>43</v>
      </c>
      <c r="P14" s="24">
        <f t="shared" si="1"/>
        <v>0</v>
      </c>
    </row>
    <row r="15" spans="1:16" ht="14.4" hidden="1" x14ac:dyDescent="0.3">
      <c r="A15" s="2" t="s">
        <v>116</v>
      </c>
      <c r="B15" s="81" t="s">
        <v>117</v>
      </c>
      <c r="C15" s="81"/>
      <c r="D15" s="81"/>
      <c r="E15" s="81"/>
      <c r="F15" s="81"/>
      <c r="G15" s="81"/>
      <c r="H15" s="81"/>
      <c r="I15" s="81"/>
      <c r="J15" s="24">
        <f>ROUND('Stavební rozpočet'!H36,2)</f>
        <v>0</v>
      </c>
      <c r="K15" s="24">
        <f>ROUND('Stavební rozpočet'!I36,2)</f>
        <v>0</v>
      </c>
      <c r="L15" s="43">
        <f>ROUND('Stavební rozpočet'!J36,2)</f>
        <v>0</v>
      </c>
      <c r="M15" s="42" t="s">
        <v>1317</v>
      </c>
      <c r="N15" s="24">
        <f t="shared" si="0"/>
        <v>0</v>
      </c>
      <c r="O15" s="3" t="s">
        <v>43</v>
      </c>
      <c r="P15" s="24">
        <f t="shared" si="1"/>
        <v>0</v>
      </c>
    </row>
    <row r="16" spans="1:16" ht="14.4" hidden="1" x14ac:dyDescent="0.3">
      <c r="A16" s="2" t="s">
        <v>123</v>
      </c>
      <c r="B16" s="81" t="s">
        <v>124</v>
      </c>
      <c r="C16" s="81"/>
      <c r="D16" s="81"/>
      <c r="E16" s="81"/>
      <c r="F16" s="81"/>
      <c r="G16" s="81"/>
      <c r="H16" s="81"/>
      <c r="I16" s="81"/>
      <c r="J16" s="24">
        <f>ROUND('Stavební rozpočet'!H38,2)</f>
        <v>0</v>
      </c>
      <c r="K16" s="24">
        <f>ROUND('Stavební rozpočet'!I38,2)</f>
        <v>0</v>
      </c>
      <c r="L16" s="43">
        <f>ROUND('Stavební rozpočet'!J38,2)</f>
        <v>0</v>
      </c>
      <c r="M16" s="42" t="s">
        <v>1317</v>
      </c>
      <c r="N16" s="24">
        <f t="shared" si="0"/>
        <v>0</v>
      </c>
      <c r="O16" s="3" t="s">
        <v>43</v>
      </c>
      <c r="P16" s="24">
        <f t="shared" si="1"/>
        <v>0</v>
      </c>
    </row>
    <row r="17" spans="1:16" ht="14.4" hidden="1" x14ac:dyDescent="0.3">
      <c r="A17" s="2" t="s">
        <v>136</v>
      </c>
      <c r="B17" s="81" t="s">
        <v>137</v>
      </c>
      <c r="C17" s="81"/>
      <c r="D17" s="81"/>
      <c r="E17" s="81"/>
      <c r="F17" s="81"/>
      <c r="G17" s="81"/>
      <c r="H17" s="81"/>
      <c r="I17" s="81"/>
      <c r="J17" s="24">
        <f>ROUND('Stavební rozpočet'!H42,2)</f>
        <v>0</v>
      </c>
      <c r="K17" s="24">
        <f>ROUND('Stavební rozpočet'!I42,2)</f>
        <v>0</v>
      </c>
      <c r="L17" s="43">
        <f>ROUND('Stavební rozpočet'!J42,2)</f>
        <v>0</v>
      </c>
      <c r="M17" s="42" t="s">
        <v>1317</v>
      </c>
      <c r="N17" s="24">
        <f t="shared" si="0"/>
        <v>0</v>
      </c>
      <c r="O17" s="3" t="s">
        <v>43</v>
      </c>
      <c r="P17" s="24">
        <f t="shared" si="1"/>
        <v>0</v>
      </c>
    </row>
    <row r="18" spans="1:16" ht="14.4" hidden="1" x14ac:dyDescent="0.3">
      <c r="A18" s="2" t="s">
        <v>142</v>
      </c>
      <c r="B18" s="81" t="s">
        <v>143</v>
      </c>
      <c r="C18" s="81"/>
      <c r="D18" s="81"/>
      <c r="E18" s="81"/>
      <c r="F18" s="81"/>
      <c r="G18" s="81"/>
      <c r="H18" s="81"/>
      <c r="I18" s="81"/>
      <c r="J18" s="24">
        <f>ROUND('Stavební rozpočet'!H44,2)</f>
        <v>0</v>
      </c>
      <c r="K18" s="24">
        <f>ROUND('Stavební rozpočet'!I44,2)</f>
        <v>0</v>
      </c>
      <c r="L18" s="43">
        <f>ROUND('Stavební rozpočet'!J44,2)</f>
        <v>0</v>
      </c>
      <c r="M18" s="42" t="s">
        <v>1317</v>
      </c>
      <c r="N18" s="24">
        <f t="shared" si="0"/>
        <v>0</v>
      </c>
      <c r="O18" s="3" t="s">
        <v>43</v>
      </c>
      <c r="P18" s="24">
        <f t="shared" si="1"/>
        <v>0</v>
      </c>
    </row>
    <row r="19" spans="1:16" ht="14.4" hidden="1" x14ac:dyDescent="0.3">
      <c r="A19" s="2" t="s">
        <v>169</v>
      </c>
      <c r="B19" s="81" t="s">
        <v>170</v>
      </c>
      <c r="C19" s="81"/>
      <c r="D19" s="81"/>
      <c r="E19" s="81"/>
      <c r="F19" s="81"/>
      <c r="G19" s="81"/>
      <c r="H19" s="81"/>
      <c r="I19" s="81"/>
      <c r="J19" s="24">
        <f>ROUND('Stavební rozpočet'!H53,2)</f>
        <v>0</v>
      </c>
      <c r="K19" s="24">
        <f>ROUND('Stavební rozpočet'!I53,2)</f>
        <v>0</v>
      </c>
      <c r="L19" s="43">
        <f>ROUND('Stavební rozpočet'!J53,2)</f>
        <v>0</v>
      </c>
      <c r="M19" s="42" t="s">
        <v>1317</v>
      </c>
      <c r="N19" s="24">
        <f t="shared" si="0"/>
        <v>0</v>
      </c>
      <c r="O19" s="3" t="s">
        <v>43</v>
      </c>
      <c r="P19" s="24">
        <f t="shared" si="1"/>
        <v>0</v>
      </c>
    </row>
    <row r="20" spans="1:16" ht="14.4" hidden="1" x14ac:dyDescent="0.3">
      <c r="A20" s="2" t="s">
        <v>194</v>
      </c>
      <c r="B20" s="81" t="s">
        <v>195</v>
      </c>
      <c r="C20" s="81"/>
      <c r="D20" s="81"/>
      <c r="E20" s="81"/>
      <c r="F20" s="81"/>
      <c r="G20" s="81"/>
      <c r="H20" s="81"/>
      <c r="I20" s="81"/>
      <c r="J20" s="24">
        <f>ROUND('Stavební rozpočet'!H61,2)</f>
        <v>0</v>
      </c>
      <c r="K20" s="24">
        <f>ROUND('Stavební rozpočet'!I61,2)</f>
        <v>0</v>
      </c>
      <c r="L20" s="43">
        <f>ROUND('Stavební rozpočet'!J61,2)</f>
        <v>0</v>
      </c>
      <c r="M20" s="42" t="s">
        <v>1317</v>
      </c>
      <c r="N20" s="24">
        <f t="shared" si="0"/>
        <v>0</v>
      </c>
      <c r="O20" s="3" t="s">
        <v>43</v>
      </c>
      <c r="P20" s="24">
        <f t="shared" si="1"/>
        <v>0</v>
      </c>
    </row>
    <row r="21" spans="1:16" ht="14.4" hidden="1" x14ac:dyDescent="0.3">
      <c r="A21" s="2" t="s">
        <v>216</v>
      </c>
      <c r="B21" s="81" t="s">
        <v>217</v>
      </c>
      <c r="C21" s="81"/>
      <c r="D21" s="81"/>
      <c r="E21" s="81"/>
      <c r="F21" s="81"/>
      <c r="G21" s="81"/>
      <c r="H21" s="81"/>
      <c r="I21" s="81"/>
      <c r="J21" s="24">
        <f>ROUND('Stavební rozpočet'!H68,2)</f>
        <v>0</v>
      </c>
      <c r="K21" s="24">
        <f>ROUND('Stavební rozpočet'!I68,2)</f>
        <v>0</v>
      </c>
      <c r="L21" s="43">
        <f>ROUND('Stavební rozpočet'!J68,2)</f>
        <v>0</v>
      </c>
      <c r="M21" s="42" t="s">
        <v>1317</v>
      </c>
      <c r="N21" s="24">
        <f t="shared" si="0"/>
        <v>0</v>
      </c>
      <c r="O21" s="3" t="s">
        <v>43</v>
      </c>
      <c r="P21" s="24">
        <f t="shared" si="1"/>
        <v>0</v>
      </c>
    </row>
    <row r="22" spans="1:16" ht="14.4" hidden="1" x14ac:dyDescent="0.3">
      <c r="A22" s="2" t="s">
        <v>265</v>
      </c>
      <c r="B22" s="81" t="s">
        <v>266</v>
      </c>
      <c r="C22" s="81"/>
      <c r="D22" s="81"/>
      <c r="E22" s="81"/>
      <c r="F22" s="81"/>
      <c r="G22" s="81"/>
      <c r="H22" s="81"/>
      <c r="I22" s="81"/>
      <c r="J22" s="24">
        <f>ROUND('Stavební rozpočet'!H84,2)</f>
        <v>0</v>
      </c>
      <c r="K22" s="24">
        <f>ROUND('Stavební rozpočet'!I84,2)</f>
        <v>0</v>
      </c>
      <c r="L22" s="43">
        <f>ROUND('Stavební rozpočet'!J84,2)</f>
        <v>0</v>
      </c>
      <c r="M22" s="42" t="s">
        <v>1317</v>
      </c>
      <c r="N22" s="24">
        <f t="shared" si="0"/>
        <v>0</v>
      </c>
      <c r="O22" s="3" t="s">
        <v>43</v>
      </c>
      <c r="P22" s="24">
        <f t="shared" si="1"/>
        <v>0</v>
      </c>
    </row>
    <row r="23" spans="1:16" ht="14.4" hidden="1" x14ac:dyDescent="0.3">
      <c r="A23" s="2" t="s">
        <v>288</v>
      </c>
      <c r="B23" s="81" t="s">
        <v>289</v>
      </c>
      <c r="C23" s="81"/>
      <c r="D23" s="81"/>
      <c r="E23" s="81"/>
      <c r="F23" s="81"/>
      <c r="G23" s="81"/>
      <c r="H23" s="81"/>
      <c r="I23" s="81"/>
      <c r="J23" s="24">
        <f>ROUND('Stavební rozpočet'!H93,2)</f>
        <v>0</v>
      </c>
      <c r="K23" s="24">
        <f>ROUND('Stavební rozpočet'!I93,2)</f>
        <v>0</v>
      </c>
      <c r="L23" s="43">
        <f>ROUND('Stavební rozpočet'!J93,2)</f>
        <v>0</v>
      </c>
      <c r="M23" s="42" t="s">
        <v>1317</v>
      </c>
      <c r="N23" s="24">
        <f t="shared" si="0"/>
        <v>0</v>
      </c>
      <c r="O23" s="3" t="s">
        <v>43</v>
      </c>
      <c r="P23" s="24">
        <f t="shared" si="1"/>
        <v>0</v>
      </c>
    </row>
    <row r="24" spans="1:16" ht="12" hidden="1" customHeight="1" x14ac:dyDescent="0.3">
      <c r="A24" s="2" t="s">
        <v>383</v>
      </c>
      <c r="B24" s="81" t="s">
        <v>384</v>
      </c>
      <c r="C24" s="81"/>
      <c r="D24" s="81"/>
      <c r="E24" s="81"/>
      <c r="F24" s="81"/>
      <c r="G24" s="81"/>
      <c r="H24" s="81"/>
      <c r="I24" s="81"/>
      <c r="J24" s="24">
        <f>ROUND('Stavební rozpočet'!H125,2)</f>
        <v>0</v>
      </c>
      <c r="K24" s="24">
        <f>ROUND('Stavební rozpočet'!I125,2)</f>
        <v>0</v>
      </c>
      <c r="L24" s="43">
        <f>ROUND('Stavební rozpočet'!J125,2)</f>
        <v>0</v>
      </c>
      <c r="M24" s="42" t="s">
        <v>1317</v>
      </c>
      <c r="N24" s="24">
        <f t="shared" si="0"/>
        <v>0</v>
      </c>
      <c r="O24" s="3" t="s">
        <v>43</v>
      </c>
      <c r="P24" s="24">
        <f t="shared" si="1"/>
        <v>0</v>
      </c>
    </row>
    <row r="25" spans="1:16" ht="14.4" hidden="1" x14ac:dyDescent="0.3">
      <c r="A25" s="2" t="s">
        <v>390</v>
      </c>
      <c r="B25" s="81" t="s">
        <v>391</v>
      </c>
      <c r="C25" s="81"/>
      <c r="D25" s="81"/>
      <c r="E25" s="81"/>
      <c r="F25" s="81"/>
      <c r="G25" s="81"/>
      <c r="H25" s="81"/>
      <c r="I25" s="81"/>
      <c r="J25" s="24">
        <f>ROUND('Stavební rozpočet'!H127,2)</f>
        <v>0</v>
      </c>
      <c r="K25" s="24">
        <f>ROUND('Stavební rozpočet'!I127,2)</f>
        <v>0</v>
      </c>
      <c r="L25" s="43">
        <f>ROUND('Stavební rozpočet'!J127,2)</f>
        <v>0</v>
      </c>
      <c r="M25" s="42" t="s">
        <v>1317</v>
      </c>
      <c r="N25" s="24">
        <f t="shared" si="0"/>
        <v>0</v>
      </c>
      <c r="O25" s="3" t="s">
        <v>43</v>
      </c>
      <c r="P25" s="24">
        <f t="shared" si="1"/>
        <v>0</v>
      </c>
    </row>
    <row r="26" spans="1:16" ht="14.4" hidden="1" x14ac:dyDescent="0.3">
      <c r="A26" s="2" t="s">
        <v>399</v>
      </c>
      <c r="B26" s="81" t="s">
        <v>400</v>
      </c>
      <c r="C26" s="81"/>
      <c r="D26" s="81"/>
      <c r="E26" s="81"/>
      <c r="F26" s="81"/>
      <c r="G26" s="81"/>
      <c r="H26" s="81"/>
      <c r="I26" s="81"/>
      <c r="J26" s="24">
        <f>ROUND('Stavební rozpočet'!H130,2)</f>
        <v>0</v>
      </c>
      <c r="K26" s="24">
        <f>ROUND('Stavební rozpočet'!I130,2)</f>
        <v>0</v>
      </c>
      <c r="L26" s="43">
        <f>ROUND('Stavební rozpočet'!J130,2)</f>
        <v>0</v>
      </c>
      <c r="M26" s="42" t="s">
        <v>1317</v>
      </c>
      <c r="N26" s="24">
        <f t="shared" si="0"/>
        <v>0</v>
      </c>
      <c r="O26" s="3" t="s">
        <v>43</v>
      </c>
      <c r="P26" s="24">
        <f t="shared" si="1"/>
        <v>0</v>
      </c>
    </row>
    <row r="27" spans="1:16" ht="14.4" hidden="1" x14ac:dyDescent="0.3">
      <c r="A27" s="2" t="s">
        <v>409</v>
      </c>
      <c r="B27" s="81" t="s">
        <v>410</v>
      </c>
      <c r="C27" s="81"/>
      <c r="D27" s="81"/>
      <c r="E27" s="81"/>
      <c r="F27" s="81"/>
      <c r="G27" s="81"/>
      <c r="H27" s="81"/>
      <c r="I27" s="81"/>
      <c r="J27" s="24">
        <f>ROUND('Stavební rozpočet'!H133,2)</f>
        <v>0</v>
      </c>
      <c r="K27" s="24">
        <f>ROUND('Stavební rozpočet'!I133,2)</f>
        <v>0</v>
      </c>
      <c r="L27" s="43">
        <f>ROUND('Stavební rozpočet'!J133,2)</f>
        <v>0</v>
      </c>
      <c r="M27" s="42" t="s">
        <v>1317</v>
      </c>
      <c r="N27" s="24">
        <f t="shared" si="0"/>
        <v>0</v>
      </c>
      <c r="O27" s="3" t="s">
        <v>43</v>
      </c>
      <c r="P27" s="24">
        <f t="shared" si="1"/>
        <v>0</v>
      </c>
    </row>
    <row r="28" spans="1:16" ht="14.4" hidden="1" x14ac:dyDescent="0.3">
      <c r="A28" s="2" t="s">
        <v>358</v>
      </c>
      <c r="B28" s="81" t="s">
        <v>421</v>
      </c>
      <c r="C28" s="81"/>
      <c r="D28" s="81"/>
      <c r="E28" s="81"/>
      <c r="F28" s="81"/>
      <c r="G28" s="81"/>
      <c r="H28" s="81"/>
      <c r="I28" s="81"/>
      <c r="J28" s="24">
        <f>ROUND('Stavební rozpočet'!H137,2)</f>
        <v>0</v>
      </c>
      <c r="K28" s="24">
        <f>ROUND('Stavební rozpočet'!I137,2)</f>
        <v>0</v>
      </c>
      <c r="L28" s="43">
        <f>ROUND('Stavební rozpočet'!J137,2)</f>
        <v>0</v>
      </c>
      <c r="M28" s="42" t="s">
        <v>1317</v>
      </c>
      <c r="N28" s="24">
        <f t="shared" si="0"/>
        <v>0</v>
      </c>
      <c r="O28" s="3" t="s">
        <v>43</v>
      </c>
      <c r="P28" s="24">
        <f t="shared" si="1"/>
        <v>0</v>
      </c>
    </row>
    <row r="29" spans="1:16" ht="14.4" hidden="1" x14ac:dyDescent="0.3">
      <c r="A29" s="2" t="s">
        <v>370</v>
      </c>
      <c r="B29" s="81" t="s">
        <v>428</v>
      </c>
      <c r="C29" s="81"/>
      <c r="D29" s="81"/>
      <c r="E29" s="81"/>
      <c r="F29" s="81"/>
      <c r="G29" s="81"/>
      <c r="H29" s="81"/>
      <c r="I29" s="81"/>
      <c r="J29" s="24">
        <f>ROUND('Stavební rozpočet'!H139,2)</f>
        <v>0</v>
      </c>
      <c r="K29" s="24">
        <f>ROUND('Stavební rozpočet'!I139,2)</f>
        <v>0</v>
      </c>
      <c r="L29" s="43">
        <f>ROUND('Stavební rozpočet'!J139,2)</f>
        <v>0</v>
      </c>
      <c r="M29" s="42" t="s">
        <v>1317</v>
      </c>
      <c r="N29" s="24">
        <f t="shared" si="0"/>
        <v>0</v>
      </c>
      <c r="O29" s="3" t="s">
        <v>43</v>
      </c>
      <c r="P29" s="24">
        <f t="shared" si="1"/>
        <v>0</v>
      </c>
    </row>
    <row r="30" spans="1:16" ht="14.4" hidden="1" x14ac:dyDescent="0.3">
      <c r="A30" s="2" t="s">
        <v>373</v>
      </c>
      <c r="B30" s="81" t="s">
        <v>449</v>
      </c>
      <c r="C30" s="81"/>
      <c r="D30" s="81"/>
      <c r="E30" s="81"/>
      <c r="F30" s="81"/>
      <c r="G30" s="81"/>
      <c r="H30" s="81"/>
      <c r="I30" s="81"/>
      <c r="J30" s="24">
        <f>ROUND('Stavební rozpočet'!H146,2)</f>
        <v>0</v>
      </c>
      <c r="K30" s="24">
        <f>ROUND('Stavební rozpočet'!I146,2)</f>
        <v>0</v>
      </c>
      <c r="L30" s="43">
        <f>ROUND('Stavební rozpočet'!J146,2)</f>
        <v>0</v>
      </c>
      <c r="M30" s="42" t="s">
        <v>1317</v>
      </c>
      <c r="N30" s="24">
        <f t="shared" si="0"/>
        <v>0</v>
      </c>
      <c r="O30" s="3" t="s">
        <v>43</v>
      </c>
      <c r="P30" s="24">
        <f t="shared" si="1"/>
        <v>0</v>
      </c>
    </row>
    <row r="31" spans="1:16" ht="14.4" hidden="1" x14ac:dyDescent="0.3">
      <c r="A31" s="2" t="s">
        <v>376</v>
      </c>
      <c r="B31" s="81" t="s">
        <v>454</v>
      </c>
      <c r="C31" s="81"/>
      <c r="D31" s="81"/>
      <c r="E31" s="81"/>
      <c r="F31" s="81"/>
      <c r="G31" s="81"/>
      <c r="H31" s="81"/>
      <c r="I31" s="81"/>
      <c r="J31" s="24">
        <f>ROUND('Stavební rozpočet'!H148,2)</f>
        <v>0</v>
      </c>
      <c r="K31" s="24">
        <f>ROUND('Stavební rozpočet'!I148,2)</f>
        <v>0</v>
      </c>
      <c r="L31" s="43">
        <f>ROUND('Stavební rozpočet'!J148,2)</f>
        <v>0</v>
      </c>
      <c r="M31" s="42" t="s">
        <v>1317</v>
      </c>
      <c r="N31" s="24">
        <f t="shared" si="0"/>
        <v>0</v>
      </c>
      <c r="O31" s="3" t="s">
        <v>43</v>
      </c>
      <c r="P31" s="24">
        <f t="shared" si="1"/>
        <v>0</v>
      </c>
    </row>
    <row r="32" spans="1:16" ht="14.4" hidden="1" x14ac:dyDescent="0.3">
      <c r="A32" s="2" t="s">
        <v>486</v>
      </c>
      <c r="B32" s="81" t="s">
        <v>487</v>
      </c>
      <c r="C32" s="81"/>
      <c r="D32" s="81"/>
      <c r="E32" s="81"/>
      <c r="F32" s="81"/>
      <c r="G32" s="81"/>
      <c r="H32" s="81"/>
      <c r="I32" s="81"/>
      <c r="J32" s="24">
        <f>ROUND('Stavební rozpočet'!H159,2)</f>
        <v>0</v>
      </c>
      <c r="K32" s="24">
        <f>ROUND('Stavební rozpočet'!I159,2)</f>
        <v>0</v>
      </c>
      <c r="L32" s="43">
        <f>ROUND('Stavební rozpočet'!J159,2)</f>
        <v>0</v>
      </c>
      <c r="M32" s="42" t="s">
        <v>1317</v>
      </c>
      <c r="N32" s="24">
        <f t="shared" si="0"/>
        <v>0</v>
      </c>
      <c r="O32" s="3" t="s">
        <v>43</v>
      </c>
      <c r="P32" s="24">
        <f t="shared" si="1"/>
        <v>0</v>
      </c>
    </row>
    <row r="33" spans="1:16" ht="14.4" hidden="1" x14ac:dyDescent="0.3">
      <c r="A33" s="2" t="s">
        <v>501</v>
      </c>
      <c r="B33" s="81" t="s">
        <v>502</v>
      </c>
      <c r="C33" s="81"/>
      <c r="D33" s="81"/>
      <c r="E33" s="81"/>
      <c r="F33" s="81"/>
      <c r="G33" s="81"/>
      <c r="H33" s="81"/>
      <c r="I33" s="81"/>
      <c r="J33" s="24">
        <f>ROUND('Stavební rozpočet'!H164,2)</f>
        <v>0</v>
      </c>
      <c r="K33" s="24">
        <f>ROUND('Stavební rozpočet'!I164,2)</f>
        <v>0</v>
      </c>
      <c r="L33" s="43">
        <f>ROUND('Stavební rozpočet'!J164,2)</f>
        <v>0</v>
      </c>
      <c r="M33" s="42" t="s">
        <v>1317</v>
      </c>
      <c r="N33" s="24">
        <f t="shared" si="0"/>
        <v>0</v>
      </c>
      <c r="O33" s="3" t="s">
        <v>43</v>
      </c>
      <c r="P33" s="24">
        <f t="shared" si="1"/>
        <v>0</v>
      </c>
    </row>
    <row r="34" spans="1:16" s="73" customFormat="1" ht="13.95" customHeight="1" x14ac:dyDescent="0.3">
      <c r="A34" s="68"/>
      <c r="B34" s="69" t="s">
        <v>1375</v>
      </c>
      <c r="C34" s="69"/>
      <c r="D34" s="69"/>
      <c r="E34" s="69"/>
      <c r="F34" s="69"/>
      <c r="G34" s="69"/>
      <c r="H34" s="69"/>
      <c r="I34" s="69"/>
      <c r="J34" s="70"/>
      <c r="K34" s="70"/>
      <c r="L34" s="71">
        <f>SUM(L12:L33)</f>
        <v>0</v>
      </c>
      <c r="M34" s="72"/>
      <c r="N34" s="70"/>
      <c r="O34" s="69"/>
      <c r="P34" s="70"/>
    </row>
    <row r="35" spans="1:16" ht="14.4" hidden="1" x14ac:dyDescent="0.3">
      <c r="A35" s="2" t="s">
        <v>528</v>
      </c>
      <c r="B35" s="81" t="s">
        <v>529</v>
      </c>
      <c r="C35" s="81"/>
      <c r="D35" s="81"/>
      <c r="E35" s="81"/>
      <c r="F35" s="81"/>
      <c r="G35" s="81"/>
      <c r="H35" s="81"/>
      <c r="I35" s="81"/>
      <c r="J35" s="24">
        <f>ROUND('Stavební rozpočet'!H173,2)</f>
        <v>0</v>
      </c>
      <c r="K35" s="24">
        <f>ROUND('Stavební rozpočet'!I173,2)</f>
        <v>0</v>
      </c>
      <c r="L35" s="43">
        <f>ROUND('Stavební rozpočet'!J173,2)</f>
        <v>0</v>
      </c>
      <c r="M35" s="42" t="s">
        <v>1317</v>
      </c>
      <c r="N35" s="24">
        <f t="shared" si="0"/>
        <v>0</v>
      </c>
      <c r="O35" s="3" t="s">
        <v>43</v>
      </c>
      <c r="P35" s="24">
        <f t="shared" si="1"/>
        <v>0</v>
      </c>
    </row>
    <row r="36" spans="1:16" ht="14.4" hidden="1" x14ac:dyDescent="0.3">
      <c r="A36" s="2" t="s">
        <v>577</v>
      </c>
      <c r="B36" s="81" t="s">
        <v>578</v>
      </c>
      <c r="C36" s="81"/>
      <c r="D36" s="81"/>
      <c r="E36" s="81"/>
      <c r="F36" s="81"/>
      <c r="G36" s="81"/>
      <c r="H36" s="81"/>
      <c r="I36" s="81"/>
      <c r="J36" s="24">
        <f>ROUND('Stavební rozpočet'!H189,2)</f>
        <v>0</v>
      </c>
      <c r="K36" s="24">
        <f>ROUND('Stavební rozpočet'!I189,2)</f>
        <v>0</v>
      </c>
      <c r="L36" s="43">
        <f>ROUND('Stavební rozpočet'!J189,2)</f>
        <v>0</v>
      </c>
      <c r="M36" s="42" t="s">
        <v>1317</v>
      </c>
      <c r="N36" s="24">
        <f t="shared" si="0"/>
        <v>0</v>
      </c>
      <c r="O36" s="3" t="s">
        <v>43</v>
      </c>
      <c r="P36" s="24">
        <f t="shared" si="1"/>
        <v>0</v>
      </c>
    </row>
    <row r="37" spans="1:16" ht="14.4" hidden="1" x14ac:dyDescent="0.3">
      <c r="A37" s="2" t="s">
        <v>615</v>
      </c>
      <c r="B37" s="81" t="s">
        <v>616</v>
      </c>
      <c r="C37" s="81"/>
      <c r="D37" s="81"/>
      <c r="E37" s="81"/>
      <c r="F37" s="81"/>
      <c r="G37" s="81"/>
      <c r="H37" s="81"/>
      <c r="I37" s="81"/>
      <c r="J37" s="24">
        <f>ROUND('Stavební rozpočet'!H202,2)</f>
        <v>0</v>
      </c>
      <c r="K37" s="24">
        <f>ROUND('Stavební rozpočet'!I202,2)</f>
        <v>0</v>
      </c>
      <c r="L37" s="43">
        <f>ROUND('Stavební rozpočet'!J202,2)</f>
        <v>0</v>
      </c>
      <c r="M37" s="42" t="s">
        <v>1317</v>
      </c>
      <c r="N37" s="24">
        <f t="shared" si="0"/>
        <v>0</v>
      </c>
      <c r="O37" s="3" t="s">
        <v>43</v>
      </c>
      <c r="P37" s="24">
        <f t="shared" si="1"/>
        <v>0</v>
      </c>
    </row>
    <row r="38" spans="1:16" s="73" customFormat="1" ht="14.4" x14ac:dyDescent="0.3">
      <c r="A38" s="68"/>
      <c r="B38" s="69" t="s">
        <v>1376</v>
      </c>
      <c r="C38" s="69"/>
      <c r="D38" s="69"/>
      <c r="E38" s="69"/>
      <c r="F38" s="69"/>
      <c r="G38" s="69"/>
      <c r="H38" s="69"/>
      <c r="I38" s="69"/>
      <c r="J38" s="70"/>
      <c r="K38" s="70"/>
      <c r="L38" s="71">
        <f>SUM(L35:L37)</f>
        <v>0</v>
      </c>
      <c r="M38" s="72"/>
      <c r="N38" s="70"/>
      <c r="O38" s="69"/>
      <c r="P38" s="70"/>
    </row>
    <row r="39" spans="1:16" ht="14.4" hidden="1" x14ac:dyDescent="0.3">
      <c r="A39" s="2" t="s">
        <v>645</v>
      </c>
      <c r="B39" s="81" t="s">
        <v>646</v>
      </c>
      <c r="C39" s="81"/>
      <c r="D39" s="81"/>
      <c r="E39" s="81"/>
      <c r="F39" s="81"/>
      <c r="G39" s="81"/>
      <c r="H39" s="81"/>
      <c r="I39" s="81"/>
      <c r="J39" s="24">
        <f>ROUND('Stavební rozpočet'!H212,2)</f>
        <v>0</v>
      </c>
      <c r="K39" s="24">
        <f>ROUND('Stavební rozpočet'!I212,2)</f>
        <v>0</v>
      </c>
      <c r="L39" s="43">
        <f>ROUND('Stavební rozpočet'!J212,2)</f>
        <v>0</v>
      </c>
      <c r="M39" s="42" t="s">
        <v>1317</v>
      </c>
      <c r="N39" s="24">
        <f t="shared" si="0"/>
        <v>0</v>
      </c>
      <c r="O39" s="3" t="s">
        <v>43</v>
      </c>
      <c r="P39" s="24">
        <f t="shared" si="1"/>
        <v>0</v>
      </c>
    </row>
    <row r="40" spans="1:16" ht="14.4" hidden="1" x14ac:dyDescent="0.3">
      <c r="A40" s="2" t="s">
        <v>703</v>
      </c>
      <c r="B40" s="81" t="s">
        <v>704</v>
      </c>
      <c r="C40" s="81"/>
      <c r="D40" s="81"/>
      <c r="E40" s="81"/>
      <c r="F40" s="81"/>
      <c r="G40" s="81"/>
      <c r="H40" s="81"/>
      <c r="I40" s="81"/>
      <c r="J40" s="24">
        <f>ROUND('Stavební rozpočet'!H231,2)</f>
        <v>0</v>
      </c>
      <c r="K40" s="24">
        <f>ROUND('Stavební rozpočet'!I231,2)</f>
        <v>0</v>
      </c>
      <c r="L40" s="43">
        <f>ROUND('Stavební rozpočet'!J231,2)</f>
        <v>0</v>
      </c>
      <c r="M40" s="42" t="s">
        <v>1317</v>
      </c>
      <c r="N40" s="24">
        <f t="shared" si="0"/>
        <v>0</v>
      </c>
      <c r="O40" s="3" t="s">
        <v>43</v>
      </c>
      <c r="P40" s="24">
        <f t="shared" si="1"/>
        <v>0</v>
      </c>
    </row>
    <row r="41" spans="1:16" ht="14.4" hidden="1" x14ac:dyDescent="0.3">
      <c r="A41" s="2" t="s">
        <v>744</v>
      </c>
      <c r="B41" s="81" t="s">
        <v>745</v>
      </c>
      <c r="C41" s="81"/>
      <c r="D41" s="81"/>
      <c r="E41" s="81"/>
      <c r="F41" s="81"/>
      <c r="G41" s="81"/>
      <c r="H41" s="81"/>
      <c r="I41" s="81"/>
      <c r="J41" s="24">
        <f>ROUND('Stavební rozpočet'!H245,2)</f>
        <v>0</v>
      </c>
      <c r="K41" s="24">
        <f>ROUND('Stavební rozpočet'!I245,2)</f>
        <v>0</v>
      </c>
      <c r="L41" s="43">
        <f>ROUND('Stavební rozpočet'!J245,2)</f>
        <v>0</v>
      </c>
      <c r="M41" s="42" t="s">
        <v>1317</v>
      </c>
      <c r="N41" s="24">
        <f t="shared" si="0"/>
        <v>0</v>
      </c>
      <c r="O41" s="3" t="s">
        <v>43</v>
      </c>
      <c r="P41" s="24">
        <f t="shared" si="1"/>
        <v>0</v>
      </c>
    </row>
    <row r="42" spans="1:16" s="73" customFormat="1" ht="14.4" x14ac:dyDescent="0.3">
      <c r="A42" s="68"/>
      <c r="B42" s="69" t="s">
        <v>1377</v>
      </c>
      <c r="C42" s="69"/>
      <c r="D42" s="69"/>
      <c r="E42" s="69"/>
      <c r="F42" s="69"/>
      <c r="G42" s="69"/>
      <c r="H42" s="69"/>
      <c r="I42" s="69"/>
      <c r="J42" s="70"/>
      <c r="K42" s="70"/>
      <c r="L42" s="71">
        <f>SUM(L39:L41)</f>
        <v>0</v>
      </c>
      <c r="M42" s="72"/>
      <c r="N42" s="70"/>
      <c r="O42" s="69"/>
      <c r="P42" s="70"/>
    </row>
    <row r="43" spans="1:16" ht="0.6" customHeight="1" x14ac:dyDescent="0.3">
      <c r="A43" s="2" t="s">
        <v>756</v>
      </c>
      <c r="B43" s="81" t="s">
        <v>757</v>
      </c>
      <c r="C43" s="81"/>
      <c r="D43" s="81"/>
      <c r="E43" s="81"/>
      <c r="F43" s="81"/>
      <c r="G43" s="81"/>
      <c r="H43" s="81"/>
      <c r="I43" s="81"/>
      <c r="J43" s="24">
        <f>ROUND('Stavební rozpočet'!H249,2)</f>
        <v>0</v>
      </c>
      <c r="K43" s="24">
        <f>ROUND('Stavební rozpočet'!I249,2)</f>
        <v>0</v>
      </c>
      <c r="L43" s="43">
        <f>ROUND('Stavební rozpočet'!J249,2)</f>
        <v>0</v>
      </c>
      <c r="M43" s="42" t="s">
        <v>1317</v>
      </c>
      <c r="N43" s="24">
        <f t="shared" si="0"/>
        <v>0</v>
      </c>
      <c r="O43" s="3" t="s">
        <v>43</v>
      </c>
      <c r="P43" s="24">
        <f t="shared" si="1"/>
        <v>0</v>
      </c>
    </row>
    <row r="44" spans="1:16" ht="14.4" hidden="1" x14ac:dyDescent="0.3">
      <c r="A44" s="2" t="s">
        <v>780</v>
      </c>
      <c r="B44" s="81" t="s">
        <v>781</v>
      </c>
      <c r="C44" s="81"/>
      <c r="D44" s="81"/>
      <c r="E44" s="81"/>
      <c r="F44" s="81"/>
      <c r="G44" s="81"/>
      <c r="H44" s="81"/>
      <c r="I44" s="81"/>
      <c r="J44" s="24">
        <f>ROUND('Stavební rozpočet'!H257,2)</f>
        <v>0</v>
      </c>
      <c r="K44" s="24">
        <f>ROUND('Stavební rozpočet'!I257,2)</f>
        <v>0</v>
      </c>
      <c r="L44" s="43">
        <f>ROUND('Stavební rozpočet'!J257,2)</f>
        <v>0</v>
      </c>
      <c r="M44" s="42" t="s">
        <v>1317</v>
      </c>
      <c r="N44" s="24">
        <f t="shared" si="0"/>
        <v>0</v>
      </c>
      <c r="O44" s="3" t="s">
        <v>43</v>
      </c>
      <c r="P44" s="24">
        <f t="shared" si="1"/>
        <v>0</v>
      </c>
    </row>
    <row r="45" spans="1:16" ht="14.4" hidden="1" x14ac:dyDescent="0.3">
      <c r="A45" s="2" t="s">
        <v>795</v>
      </c>
      <c r="B45" s="81" t="s">
        <v>796</v>
      </c>
      <c r="C45" s="81"/>
      <c r="D45" s="81"/>
      <c r="E45" s="81"/>
      <c r="F45" s="81"/>
      <c r="G45" s="81"/>
      <c r="H45" s="81"/>
      <c r="I45" s="81"/>
      <c r="J45" s="24">
        <f>ROUND('Stavební rozpočet'!H262,2)</f>
        <v>0</v>
      </c>
      <c r="K45" s="24">
        <f>ROUND('Stavební rozpočet'!I262,2)</f>
        <v>0</v>
      </c>
      <c r="L45" s="43">
        <f>ROUND('Stavební rozpočet'!J262,2)</f>
        <v>0</v>
      </c>
      <c r="M45" s="42" t="s">
        <v>1317</v>
      </c>
      <c r="N45" s="24">
        <f t="shared" si="0"/>
        <v>0</v>
      </c>
      <c r="O45" s="3" t="s">
        <v>43</v>
      </c>
      <c r="P45" s="24">
        <f t="shared" si="1"/>
        <v>0</v>
      </c>
    </row>
    <row r="46" spans="1:16" s="73" customFormat="1" ht="14.4" x14ac:dyDescent="0.3">
      <c r="A46" s="68"/>
      <c r="B46" s="69" t="s">
        <v>1378</v>
      </c>
      <c r="C46" s="69"/>
      <c r="D46" s="69"/>
      <c r="E46" s="69"/>
      <c r="F46" s="69"/>
      <c r="G46" s="69"/>
      <c r="H46" s="69"/>
      <c r="I46" s="69"/>
      <c r="J46" s="70"/>
      <c r="K46" s="70"/>
      <c r="L46" s="71">
        <f>SUM(L43:L45)</f>
        <v>0</v>
      </c>
      <c r="M46" s="72"/>
      <c r="N46" s="70"/>
      <c r="O46" s="69"/>
      <c r="P46" s="70"/>
    </row>
    <row r="47" spans="1:16" ht="14.4" hidden="1" x14ac:dyDescent="0.3">
      <c r="A47" s="2" t="s">
        <v>828</v>
      </c>
      <c r="B47" s="81" t="s">
        <v>829</v>
      </c>
      <c r="C47" s="81"/>
      <c r="D47" s="81"/>
      <c r="E47" s="81"/>
      <c r="F47" s="81"/>
      <c r="G47" s="81"/>
      <c r="H47" s="81"/>
      <c r="I47" s="81"/>
      <c r="J47" s="24">
        <f>ROUND('Stavební rozpočet'!H273,2)</f>
        <v>0</v>
      </c>
      <c r="K47" s="24">
        <f>ROUND('Stavební rozpočet'!I273,2)</f>
        <v>0</v>
      </c>
      <c r="L47" s="43">
        <f>ROUND('Stavební rozpočet'!J273,2)</f>
        <v>0</v>
      </c>
      <c r="M47" s="42" t="s">
        <v>1317</v>
      </c>
      <c r="N47" s="24">
        <f t="shared" si="0"/>
        <v>0</v>
      </c>
      <c r="O47" s="3" t="s">
        <v>43</v>
      </c>
      <c r="P47" s="24">
        <f t="shared" si="1"/>
        <v>0</v>
      </c>
    </row>
    <row r="48" spans="1:16" ht="14.4" hidden="1" x14ac:dyDescent="0.3">
      <c r="A48" s="2" t="s">
        <v>940</v>
      </c>
      <c r="B48" s="81" t="s">
        <v>941</v>
      </c>
      <c r="C48" s="81"/>
      <c r="D48" s="81"/>
      <c r="E48" s="81"/>
      <c r="F48" s="81"/>
      <c r="G48" s="81"/>
      <c r="H48" s="81"/>
      <c r="I48" s="81"/>
      <c r="J48" s="24">
        <f>ROUND('Stavební rozpočet'!H328,2)</f>
        <v>0</v>
      </c>
      <c r="K48" s="24">
        <f>ROUND('Stavební rozpočet'!I328,2)</f>
        <v>0</v>
      </c>
      <c r="L48" s="43">
        <f>ROUND('Stavební rozpočet'!J328,2)</f>
        <v>0</v>
      </c>
      <c r="M48" s="42" t="s">
        <v>1317</v>
      </c>
      <c r="N48" s="24">
        <f t="shared" si="0"/>
        <v>0</v>
      </c>
      <c r="O48" s="3" t="s">
        <v>43</v>
      </c>
      <c r="P48" s="24">
        <f t="shared" si="1"/>
        <v>0</v>
      </c>
    </row>
    <row r="49" spans="1:16" ht="14.4" hidden="1" x14ac:dyDescent="0.3">
      <c r="A49" s="2" t="s">
        <v>1006</v>
      </c>
      <c r="B49" s="81" t="s">
        <v>1007</v>
      </c>
      <c r="C49" s="81"/>
      <c r="D49" s="81"/>
      <c r="E49" s="81"/>
      <c r="F49" s="81"/>
      <c r="G49" s="81"/>
      <c r="H49" s="81"/>
      <c r="I49" s="81"/>
      <c r="J49" s="24">
        <f>ROUND('Stavební rozpočet'!H367,2)</f>
        <v>0</v>
      </c>
      <c r="K49" s="24">
        <f>ROUND('Stavební rozpočet'!I367,2)</f>
        <v>0</v>
      </c>
      <c r="L49" s="43">
        <f>ROUND('Stavební rozpočet'!J367,2)</f>
        <v>0</v>
      </c>
      <c r="M49" s="42" t="s">
        <v>1317</v>
      </c>
      <c r="N49" s="24">
        <f t="shared" si="0"/>
        <v>0</v>
      </c>
      <c r="O49" s="3" t="s">
        <v>43</v>
      </c>
      <c r="P49" s="24">
        <f t="shared" si="1"/>
        <v>0</v>
      </c>
    </row>
    <row r="50" spans="1:16" s="73" customFormat="1" ht="14.4" x14ac:dyDescent="0.3">
      <c r="A50" s="68"/>
      <c r="B50" s="69" t="s">
        <v>1379</v>
      </c>
      <c r="C50" s="69"/>
      <c r="D50" s="69"/>
      <c r="E50" s="69"/>
      <c r="F50" s="69"/>
      <c r="G50" s="69"/>
      <c r="H50" s="69"/>
      <c r="I50" s="69"/>
      <c r="J50" s="70"/>
      <c r="K50" s="70"/>
      <c r="L50" s="71">
        <f>SUM(L47:L49)</f>
        <v>0</v>
      </c>
      <c r="M50" s="72"/>
      <c r="N50" s="70"/>
      <c r="O50" s="69"/>
      <c r="P50" s="70"/>
    </row>
    <row r="51" spans="1:16" ht="0.6" customHeight="1" x14ac:dyDescent="0.3">
      <c r="A51" s="2" t="s">
        <v>1012</v>
      </c>
      <c r="B51" s="81" t="s">
        <v>1013</v>
      </c>
      <c r="C51" s="81"/>
      <c r="D51" s="81"/>
      <c r="E51" s="81"/>
      <c r="F51" s="81"/>
      <c r="G51" s="81"/>
      <c r="H51" s="81"/>
      <c r="I51" s="81"/>
      <c r="J51" s="24">
        <f>ROUND('Stavební rozpočet'!H369,2)</f>
        <v>0</v>
      </c>
      <c r="K51" s="24">
        <f>ROUND('Stavební rozpočet'!I369,2)</f>
        <v>0</v>
      </c>
      <c r="L51" s="43">
        <f>ROUND('Stavební rozpočet'!J369,2)</f>
        <v>0</v>
      </c>
      <c r="M51" s="42" t="s">
        <v>1317</v>
      </c>
      <c r="N51" s="24">
        <f t="shared" si="0"/>
        <v>0</v>
      </c>
      <c r="O51" s="3" t="s">
        <v>43</v>
      </c>
      <c r="P51" s="24">
        <f t="shared" si="1"/>
        <v>0</v>
      </c>
    </row>
    <row r="52" spans="1:16" ht="14.4" hidden="1" x14ac:dyDescent="0.3">
      <c r="A52" s="2" t="s">
        <v>1043</v>
      </c>
      <c r="B52" s="81" t="s">
        <v>1044</v>
      </c>
      <c r="C52" s="81"/>
      <c r="D52" s="81"/>
      <c r="E52" s="81"/>
      <c r="F52" s="81"/>
      <c r="G52" s="81"/>
      <c r="H52" s="81"/>
      <c r="I52" s="81"/>
      <c r="J52" s="24">
        <f>ROUND('Stavební rozpočet'!H379,2)</f>
        <v>0</v>
      </c>
      <c r="K52" s="24">
        <f>ROUND('Stavební rozpočet'!I379,2)</f>
        <v>0</v>
      </c>
      <c r="L52" s="43">
        <f>ROUND('Stavební rozpočet'!J379,2)</f>
        <v>0</v>
      </c>
      <c r="M52" s="42" t="s">
        <v>1317</v>
      </c>
      <c r="N52" s="24">
        <f t="shared" si="0"/>
        <v>0</v>
      </c>
      <c r="O52" s="3" t="s">
        <v>43</v>
      </c>
      <c r="P52" s="24">
        <f t="shared" si="1"/>
        <v>0</v>
      </c>
    </row>
    <row r="53" spans="1:16" ht="14.4" hidden="1" x14ac:dyDescent="0.3">
      <c r="A53" s="2" t="s">
        <v>1080</v>
      </c>
      <c r="B53" s="81" t="s">
        <v>1081</v>
      </c>
      <c r="C53" s="81"/>
      <c r="D53" s="81"/>
      <c r="E53" s="81"/>
      <c r="F53" s="81"/>
      <c r="G53" s="81"/>
      <c r="H53" s="81"/>
      <c r="I53" s="81"/>
      <c r="J53" s="24">
        <f>ROUND('Stavební rozpočet'!H391,2)</f>
        <v>0</v>
      </c>
      <c r="K53" s="24">
        <f>ROUND('Stavební rozpočet'!I391,2)</f>
        <v>0</v>
      </c>
      <c r="L53" s="43">
        <f>ROUND('Stavební rozpočet'!J391,2)</f>
        <v>0</v>
      </c>
      <c r="M53" s="42" t="s">
        <v>1317</v>
      </c>
      <c r="N53" s="24">
        <f t="shared" si="0"/>
        <v>0</v>
      </c>
      <c r="O53" s="3" t="s">
        <v>43</v>
      </c>
      <c r="P53" s="24">
        <f t="shared" si="1"/>
        <v>0</v>
      </c>
    </row>
    <row r="54" spans="1:16" ht="14.4" hidden="1" x14ac:dyDescent="0.3">
      <c r="A54" s="2" t="s">
        <v>1176</v>
      </c>
      <c r="B54" s="81" t="s">
        <v>1177</v>
      </c>
      <c r="C54" s="81"/>
      <c r="D54" s="81"/>
      <c r="E54" s="81"/>
      <c r="F54" s="81"/>
      <c r="G54" s="81"/>
      <c r="H54" s="81"/>
      <c r="I54" s="81"/>
      <c r="J54" s="24">
        <f>ROUND('Stavební rozpočet'!H424,2)</f>
        <v>0</v>
      </c>
      <c r="K54" s="24">
        <f>ROUND('Stavební rozpočet'!I424,2)</f>
        <v>0</v>
      </c>
      <c r="L54" s="43">
        <f>ROUND('Stavební rozpočet'!J424,2)</f>
        <v>0</v>
      </c>
      <c r="M54" s="42" t="s">
        <v>1317</v>
      </c>
      <c r="N54" s="24">
        <f t="shared" si="0"/>
        <v>0</v>
      </c>
      <c r="O54" s="3" t="s">
        <v>43</v>
      </c>
      <c r="P54" s="24">
        <f t="shared" si="1"/>
        <v>0</v>
      </c>
    </row>
    <row r="55" spans="1:16" ht="14.4" hidden="1" x14ac:dyDescent="0.3">
      <c r="A55" s="2" t="s">
        <v>1214</v>
      </c>
      <c r="B55" s="81" t="s">
        <v>1215</v>
      </c>
      <c r="C55" s="81"/>
      <c r="D55" s="81"/>
      <c r="E55" s="81"/>
      <c r="F55" s="81"/>
      <c r="G55" s="81"/>
      <c r="H55" s="81"/>
      <c r="I55" s="81"/>
      <c r="J55" s="24">
        <f>ROUND('Stavební rozpočet'!H439,2)</f>
        <v>0</v>
      </c>
      <c r="K55" s="24">
        <f>ROUND('Stavební rozpočet'!I439,2)</f>
        <v>0</v>
      </c>
      <c r="L55" s="43">
        <f>ROUND('Stavební rozpočet'!J439,2)</f>
        <v>0</v>
      </c>
      <c r="M55" s="42" t="s">
        <v>1317</v>
      </c>
      <c r="N55" s="24">
        <f t="shared" si="0"/>
        <v>0</v>
      </c>
      <c r="O55" s="3" t="s">
        <v>43</v>
      </c>
      <c r="P55" s="24">
        <f t="shared" si="1"/>
        <v>0</v>
      </c>
    </row>
    <row r="56" spans="1:16" ht="14.4" hidden="1" x14ac:dyDescent="0.3">
      <c r="A56" s="61" t="s">
        <v>1306</v>
      </c>
      <c r="B56" s="158" t="s">
        <v>1307</v>
      </c>
      <c r="C56" s="158"/>
      <c r="D56" s="158"/>
      <c r="E56" s="158"/>
      <c r="F56" s="158"/>
      <c r="G56" s="158"/>
      <c r="H56" s="158"/>
      <c r="I56" s="158"/>
      <c r="J56" s="67">
        <f>ROUND('Stavební rozpočet'!H470,2)</f>
        <v>0</v>
      </c>
      <c r="K56" s="67">
        <f>ROUND('Stavební rozpočet'!I470,2)</f>
        <v>0</v>
      </c>
      <c r="L56" s="62">
        <f>ROUND('Stavební rozpočet'!J470,2)</f>
        <v>0</v>
      </c>
      <c r="M56" s="42" t="s">
        <v>1317</v>
      </c>
      <c r="N56" s="24">
        <f t="shared" si="0"/>
        <v>0</v>
      </c>
      <c r="O56" s="3" t="s">
        <v>43</v>
      </c>
      <c r="P56" s="24">
        <f t="shared" si="1"/>
        <v>0</v>
      </c>
    </row>
    <row r="57" spans="1:16" s="73" customFormat="1" thickBot="1" x14ac:dyDescent="0.35">
      <c r="A57" s="74"/>
      <c r="B57" s="74" t="s">
        <v>1380</v>
      </c>
      <c r="C57" s="74"/>
      <c r="D57" s="74"/>
      <c r="E57" s="74"/>
      <c r="F57" s="74"/>
      <c r="G57" s="74"/>
      <c r="H57" s="74"/>
      <c r="I57" s="74"/>
      <c r="J57" s="75"/>
      <c r="K57" s="75"/>
      <c r="L57" s="75">
        <f>SUM(L51:L56)</f>
        <v>0</v>
      </c>
      <c r="M57" s="72"/>
      <c r="N57" s="70"/>
      <c r="O57" s="69"/>
      <c r="P57" s="70"/>
    </row>
    <row r="58" spans="1:16" ht="14.4" x14ac:dyDescent="0.3">
      <c r="J58" s="109" t="s">
        <v>1315</v>
      </c>
      <c r="K58" s="109"/>
      <c r="L58" s="35">
        <f>ROUND(SUM(N12:N56),2)</f>
        <v>0</v>
      </c>
    </row>
    <row r="59" spans="1:16" ht="14.4" x14ac:dyDescent="0.3">
      <c r="A59" s="36"/>
    </row>
    <row r="60" spans="1:16" ht="12.75" customHeight="1" x14ac:dyDescent="0.3">
      <c r="A60" s="82" t="s">
        <v>43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</row>
  </sheetData>
  <sheetProtection algorithmName="SHA-512" hashValue="LjpmoS4QY9kk9ms5mqyTpYS51yH03H+khA1dHJBa/Nt07zESnG4r/IgeSqBIFPPYw6ejc553iBoqOyB5yvAvxw==" saltValue="fI0GSMuhZ4H1Yk0puNZ6uA==" spinCount="100000" sheet="1" objects="1" scenarios="1"/>
  <mergeCells count="70">
    <mergeCell ref="B55:I55"/>
    <mergeCell ref="B56:I56"/>
    <mergeCell ref="J58:K58"/>
    <mergeCell ref="A60:L60"/>
    <mergeCell ref="B49:I49"/>
    <mergeCell ref="B51:I51"/>
    <mergeCell ref="B52:I52"/>
    <mergeCell ref="B53:I53"/>
    <mergeCell ref="B54:I54"/>
    <mergeCell ref="B43:I43"/>
    <mergeCell ref="B44:I44"/>
    <mergeCell ref="B45:I45"/>
    <mergeCell ref="B47:I47"/>
    <mergeCell ref="B48:I48"/>
    <mergeCell ref="B36:I36"/>
    <mergeCell ref="B37:I37"/>
    <mergeCell ref="B39:I39"/>
    <mergeCell ref="B40:I40"/>
    <mergeCell ref="B41:I41"/>
    <mergeCell ref="B30:I30"/>
    <mergeCell ref="B31:I31"/>
    <mergeCell ref="B32:I32"/>
    <mergeCell ref="B33:I33"/>
    <mergeCell ref="B35:I35"/>
    <mergeCell ref="B25:I25"/>
    <mergeCell ref="B26:I26"/>
    <mergeCell ref="B27:I27"/>
    <mergeCell ref="B28:I28"/>
    <mergeCell ref="B29:I29"/>
    <mergeCell ref="B20:I20"/>
    <mergeCell ref="B21:I21"/>
    <mergeCell ref="B22:I22"/>
    <mergeCell ref="B23:I23"/>
    <mergeCell ref="B24:I24"/>
    <mergeCell ref="B15:I15"/>
    <mergeCell ref="B16:I16"/>
    <mergeCell ref="B17:I17"/>
    <mergeCell ref="B18:I18"/>
    <mergeCell ref="B19:I19"/>
    <mergeCell ref="B11:I11"/>
    <mergeCell ref="J10:L10"/>
    <mergeCell ref="B12:I12"/>
    <mergeCell ref="B13:I13"/>
    <mergeCell ref="B14:I14"/>
    <mergeCell ref="J2:L3"/>
    <mergeCell ref="J4:L5"/>
    <mergeCell ref="J6:L7"/>
    <mergeCell ref="J8:L9"/>
    <mergeCell ref="B10:I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475"/>
  <sheetViews>
    <sheetView workbookViewId="0">
      <pane ySplit="14" topLeftCell="A15" activePane="bottomLeft" state="frozen"/>
      <selection pane="bottomLeft" activeCell="N91" sqref="N91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8.44140625" customWidth="1"/>
    <col min="6" max="6" width="12.88671875" customWidth="1"/>
    <col min="7" max="7" width="12" customWidth="1"/>
    <col min="8" max="9" width="15.6640625" hidden="1" customWidth="1"/>
    <col min="10" max="10" width="15.6640625" customWidth="1"/>
    <col min="11" max="11" width="26.6640625" customWidth="1"/>
    <col min="25" max="75" width="12.109375" hidden="1"/>
    <col min="76" max="76" width="78.5546875" hidden="1" customWidth="1"/>
    <col min="77" max="78" width="12.109375" hidden="1"/>
  </cols>
  <sheetData>
    <row r="1" spans="1:76" ht="15" customHeight="1" x14ac:dyDescent="0.3">
      <c r="A1" s="79" t="s">
        <v>1393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76" ht="15" customHeight="1" x14ac:dyDescent="0.3">
      <c r="A2" s="79" t="s">
        <v>1394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76" ht="15" customHeight="1" x14ac:dyDescent="0.3">
      <c r="A3" s="79" t="s">
        <v>1395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76" ht="54.75" customHeight="1" x14ac:dyDescent="0.3">
      <c r="A4" s="89" t="s">
        <v>1373</v>
      </c>
      <c r="B4" s="90"/>
      <c r="C4" s="90"/>
      <c r="D4" s="90"/>
      <c r="E4" s="90"/>
      <c r="F4" s="90"/>
      <c r="G4" s="90"/>
      <c r="H4" s="90"/>
      <c r="I4" s="90"/>
      <c r="J4" s="90"/>
      <c r="K4" s="90"/>
      <c r="AS4" s="1">
        <f>SUM(AJ4:AJ5)</f>
        <v>0</v>
      </c>
      <c r="AT4" s="1">
        <f>SUM(AK4:AK5)</f>
        <v>0</v>
      </c>
      <c r="AU4" s="1">
        <f>SUM(AL4:AL5)</f>
        <v>0</v>
      </c>
    </row>
    <row r="5" spans="1:76" ht="14.4" x14ac:dyDescent="0.3">
      <c r="A5" s="91" t="s">
        <v>0</v>
      </c>
      <c r="B5" s="88"/>
      <c r="C5" s="95" t="s">
        <v>1</v>
      </c>
      <c r="D5" s="96"/>
      <c r="E5" s="88" t="s">
        <v>2</v>
      </c>
      <c r="F5" s="88"/>
      <c r="G5" s="88" t="s">
        <v>3</v>
      </c>
      <c r="H5" s="80"/>
      <c r="I5" s="76"/>
      <c r="J5" s="80" t="s">
        <v>4</v>
      </c>
      <c r="K5" s="84" t="s">
        <v>1396</v>
      </c>
    </row>
    <row r="6" spans="1:76" ht="14.4" x14ac:dyDescent="0.3">
      <c r="A6" s="92"/>
      <c r="B6" s="81"/>
      <c r="C6" s="97"/>
      <c r="D6" s="97"/>
      <c r="E6" s="81"/>
      <c r="F6" s="81"/>
      <c r="G6" s="81"/>
      <c r="H6" s="81"/>
      <c r="I6" s="77"/>
      <c r="J6" s="81"/>
      <c r="K6" s="85"/>
    </row>
    <row r="7" spans="1:76" ht="14.4" x14ac:dyDescent="0.3">
      <c r="A7" s="93" t="s">
        <v>5</v>
      </c>
      <c r="B7" s="81"/>
      <c r="C7" s="82" t="s">
        <v>6</v>
      </c>
      <c r="D7" s="81"/>
      <c r="E7" s="81" t="s">
        <v>7</v>
      </c>
      <c r="F7" s="81"/>
      <c r="G7" s="81"/>
      <c r="H7" s="82"/>
      <c r="I7" s="77"/>
      <c r="J7" s="82" t="s">
        <v>8</v>
      </c>
      <c r="K7" s="86" t="s">
        <v>1398</v>
      </c>
    </row>
    <row r="8" spans="1:76" ht="14.4" x14ac:dyDescent="0.3">
      <c r="A8" s="92"/>
      <c r="B8" s="81"/>
      <c r="C8" s="81"/>
      <c r="D8" s="81"/>
      <c r="E8" s="81"/>
      <c r="F8" s="81"/>
      <c r="G8" s="81"/>
      <c r="H8" s="81"/>
      <c r="I8" s="77"/>
      <c r="J8" s="81"/>
      <c r="K8" s="85"/>
    </row>
    <row r="9" spans="1:76" ht="14.4" x14ac:dyDescent="0.3">
      <c r="A9" s="93" t="s">
        <v>9</v>
      </c>
      <c r="B9" s="81"/>
      <c r="C9" s="82" t="s">
        <v>10</v>
      </c>
      <c r="D9" s="81"/>
      <c r="E9" s="81" t="s">
        <v>11</v>
      </c>
      <c r="F9" s="81"/>
      <c r="G9" s="81" t="s">
        <v>3</v>
      </c>
      <c r="H9" s="82"/>
      <c r="I9" s="77"/>
      <c r="J9" s="82" t="s">
        <v>12</v>
      </c>
      <c r="K9" s="178"/>
    </row>
    <row r="10" spans="1:76" ht="14.4" x14ac:dyDescent="0.3">
      <c r="A10" s="92"/>
      <c r="B10" s="81"/>
      <c r="C10" s="81"/>
      <c r="D10" s="81"/>
      <c r="E10" s="81"/>
      <c r="F10" s="81"/>
      <c r="G10" s="81"/>
      <c r="H10" s="81"/>
      <c r="I10" s="77"/>
      <c r="J10" s="81"/>
      <c r="K10" s="179"/>
    </row>
    <row r="11" spans="1:76" ht="14.4" x14ac:dyDescent="0.3">
      <c r="A11" s="93" t="s">
        <v>13</v>
      </c>
      <c r="B11" s="81"/>
      <c r="C11" s="82" t="s">
        <v>3</v>
      </c>
      <c r="D11" s="81"/>
      <c r="E11" s="81" t="s">
        <v>14</v>
      </c>
      <c r="F11" s="81"/>
      <c r="G11" s="81"/>
      <c r="H11" s="82"/>
      <c r="I11" s="77"/>
      <c r="J11" s="82" t="s">
        <v>15</v>
      </c>
      <c r="K11" s="85"/>
    </row>
    <row r="12" spans="1:76" thickBot="1" x14ac:dyDescent="0.35">
      <c r="A12" s="94"/>
      <c r="B12" s="83"/>
      <c r="C12" s="83"/>
      <c r="D12" s="83"/>
      <c r="E12" s="83"/>
      <c r="F12" s="83"/>
      <c r="G12" s="83"/>
      <c r="H12" s="83"/>
      <c r="I12" s="78"/>
      <c r="J12" s="83"/>
      <c r="K12" s="87"/>
    </row>
    <row r="13" spans="1:76" ht="14.4" x14ac:dyDescent="0.3">
      <c r="A13" s="5" t="s">
        <v>16</v>
      </c>
      <c r="B13" s="6" t="s">
        <v>17</v>
      </c>
      <c r="C13" s="107" t="s">
        <v>18</v>
      </c>
      <c r="D13" s="108"/>
      <c r="E13" s="6" t="s">
        <v>19</v>
      </c>
      <c r="F13" s="7" t="s">
        <v>20</v>
      </c>
      <c r="G13" s="8" t="s">
        <v>21</v>
      </c>
      <c r="H13" s="102" t="s">
        <v>22</v>
      </c>
      <c r="I13" s="103"/>
      <c r="J13" s="104"/>
      <c r="K13" s="9"/>
      <c r="BK13" s="10" t="s">
        <v>23</v>
      </c>
      <c r="BL13" s="11" t="s">
        <v>24</v>
      </c>
      <c r="BW13" s="11" t="s">
        <v>25</v>
      </c>
    </row>
    <row r="14" spans="1:76" ht="14.4" x14ac:dyDescent="0.3">
      <c r="A14" s="12" t="s">
        <v>3</v>
      </c>
      <c r="B14" s="13" t="s">
        <v>3</v>
      </c>
      <c r="C14" s="100" t="s">
        <v>26</v>
      </c>
      <c r="D14" s="101"/>
      <c r="E14" s="13" t="s">
        <v>3</v>
      </c>
      <c r="F14" s="13" t="s">
        <v>3</v>
      </c>
      <c r="G14" s="14" t="s">
        <v>27</v>
      </c>
      <c r="H14" s="15" t="s">
        <v>28</v>
      </c>
      <c r="I14" s="16" t="s">
        <v>29</v>
      </c>
      <c r="J14" s="17" t="s">
        <v>30</v>
      </c>
      <c r="K14" s="18"/>
      <c r="Z14" s="10" t="s">
        <v>31</v>
      </c>
      <c r="AA14" s="10" t="s">
        <v>32</v>
      </c>
      <c r="AB14" s="10" t="s">
        <v>33</v>
      </c>
      <c r="AC14" s="10" t="s">
        <v>34</v>
      </c>
      <c r="AD14" s="10" t="s">
        <v>35</v>
      </c>
      <c r="AE14" s="10" t="s">
        <v>36</v>
      </c>
      <c r="AF14" s="10" t="s">
        <v>37</v>
      </c>
      <c r="AG14" s="10" t="s">
        <v>38</v>
      </c>
      <c r="AH14" s="10" t="s">
        <v>39</v>
      </c>
      <c r="BH14" s="10" t="s">
        <v>40</v>
      </c>
      <c r="BI14" s="10" t="s">
        <v>41</v>
      </c>
      <c r="BJ14" s="10" t="s">
        <v>42</v>
      </c>
    </row>
    <row r="15" spans="1:76" ht="14.4" x14ac:dyDescent="0.3">
      <c r="A15" s="19" t="s">
        <v>43</v>
      </c>
      <c r="B15" s="20" t="s">
        <v>44</v>
      </c>
      <c r="C15" s="105" t="s">
        <v>45</v>
      </c>
      <c r="D15" s="106"/>
      <c r="E15" s="21" t="s">
        <v>3</v>
      </c>
      <c r="F15" s="21" t="s">
        <v>3</v>
      </c>
      <c r="G15" s="21" t="s">
        <v>3</v>
      </c>
      <c r="H15" s="22">
        <f>ROUND(SUM(H16:H21),2)</f>
        <v>0</v>
      </c>
      <c r="I15" s="22">
        <f>ROUND(SUM(I16:I21),2)</f>
        <v>0</v>
      </c>
      <c r="J15" s="22">
        <f>ROUND(SUM(J16:J21),2)</f>
        <v>0</v>
      </c>
      <c r="K15" s="23" t="s">
        <v>43</v>
      </c>
      <c r="AI15" s="10" t="s">
        <v>43</v>
      </c>
      <c r="AS15" s="1">
        <f>SUM(AJ16:AJ21)</f>
        <v>0</v>
      </c>
      <c r="AT15" s="1">
        <f>SUM(AK16:AK21)</f>
        <v>0</v>
      </c>
      <c r="AU15" s="1">
        <f>SUM(AL16:AL21)</f>
        <v>0</v>
      </c>
    </row>
    <row r="16" spans="1:76" ht="14.4" x14ac:dyDescent="0.3">
      <c r="A16" s="2" t="s">
        <v>46</v>
      </c>
      <c r="B16" s="3" t="s">
        <v>47</v>
      </c>
      <c r="C16" s="82" t="s">
        <v>48</v>
      </c>
      <c r="D16" s="81"/>
      <c r="E16" s="3" t="s">
        <v>49</v>
      </c>
      <c r="F16" s="24">
        <v>121.5277</v>
      </c>
      <c r="G16" s="180">
        <v>0</v>
      </c>
      <c r="H16" s="24">
        <f t="shared" ref="H16:H21" si="0">ROUND(F16*AO16,2)</f>
        <v>0</v>
      </c>
      <c r="I16" s="24">
        <f t="shared" ref="I16:I21" si="1">ROUND(F16*AP16,2)</f>
        <v>0</v>
      </c>
      <c r="J16" s="24">
        <f t="shared" ref="J16:J21" si="2">ROUND(F16*G16,2)</f>
        <v>0</v>
      </c>
      <c r="K16" s="25"/>
      <c r="Z16" s="24">
        <f t="shared" ref="Z16:Z21" si="3">ROUND(IF(AQ16="5",BJ16,0),2)</f>
        <v>0</v>
      </c>
      <c r="AB16" s="24">
        <f t="shared" ref="AB16:AB21" si="4">ROUND(IF(AQ16="1",BH16,0),2)</f>
        <v>0</v>
      </c>
      <c r="AC16" s="24">
        <f t="shared" ref="AC16:AC21" si="5">ROUND(IF(AQ16="1",BI16,0),2)</f>
        <v>0</v>
      </c>
      <c r="AD16" s="24">
        <f t="shared" ref="AD16:AD21" si="6">ROUND(IF(AQ16="7",BH16,0),2)</f>
        <v>0</v>
      </c>
      <c r="AE16" s="24">
        <f t="shared" ref="AE16:AE21" si="7">ROUND(IF(AQ16="7",BI16,0),2)</f>
        <v>0</v>
      </c>
      <c r="AF16" s="24">
        <f t="shared" ref="AF16:AF21" si="8">ROUND(IF(AQ16="2",BH16,0),2)</f>
        <v>0</v>
      </c>
      <c r="AG16" s="24">
        <f t="shared" ref="AG16:AG21" si="9">ROUND(IF(AQ16="2",BI16,0),2)</f>
        <v>0</v>
      </c>
      <c r="AH16" s="24">
        <f t="shared" ref="AH16:AH21" si="10">ROUND(IF(AQ16="0",BJ16,0),2)</f>
        <v>0</v>
      </c>
      <c r="AI16" s="10" t="s">
        <v>43</v>
      </c>
      <c r="AJ16" s="24">
        <f t="shared" ref="AJ16:AJ21" si="11">IF(AN16=0,J16,0)</f>
        <v>0</v>
      </c>
      <c r="AK16" s="24">
        <f t="shared" ref="AK16:AK21" si="12">IF(AN16=12,J16,0)</f>
        <v>0</v>
      </c>
      <c r="AL16" s="24">
        <f t="shared" ref="AL16:AL21" si="13">IF(AN16=21,J16,0)</f>
        <v>0</v>
      </c>
      <c r="AN16" s="24">
        <v>21</v>
      </c>
      <c r="AO16" s="24">
        <f t="shared" ref="AO16:AO21" si="14">G16*0</f>
        <v>0</v>
      </c>
      <c r="AP16" s="24">
        <f t="shared" ref="AP16:AP21" si="15">G16*(1-0)</f>
        <v>0</v>
      </c>
      <c r="AQ16" s="26" t="s">
        <v>46</v>
      </c>
      <c r="AV16" s="24">
        <f t="shared" ref="AV16:AV21" si="16">ROUND(AW16+AX16,2)</f>
        <v>0</v>
      </c>
      <c r="AW16" s="24">
        <f t="shared" ref="AW16:AW21" si="17">ROUND(F16*AO16,2)</f>
        <v>0</v>
      </c>
      <c r="AX16" s="24">
        <f t="shared" ref="AX16:AX21" si="18">ROUND(F16*AP16,2)</f>
        <v>0</v>
      </c>
      <c r="AY16" s="26" t="s">
        <v>50</v>
      </c>
      <c r="AZ16" s="26" t="s">
        <v>51</v>
      </c>
      <c r="BA16" s="10" t="s">
        <v>52</v>
      </c>
      <c r="BC16" s="24">
        <f t="shared" ref="BC16:BC21" si="19">AW16+AX16</f>
        <v>0</v>
      </c>
      <c r="BD16" s="24">
        <f t="shared" ref="BD16:BD21" si="20">G16/(100-BE16)*100</f>
        <v>0</v>
      </c>
      <c r="BE16" s="24">
        <v>0</v>
      </c>
      <c r="BF16" s="24">
        <f>13</f>
        <v>13</v>
      </c>
      <c r="BH16" s="24">
        <f t="shared" ref="BH16:BH21" si="21">F16*AO16</f>
        <v>0</v>
      </c>
      <c r="BI16" s="24">
        <f t="shared" ref="BI16:BI21" si="22">F16*AP16</f>
        <v>0</v>
      </c>
      <c r="BJ16" s="24">
        <f t="shared" ref="BJ16:BJ21" si="23">F16*G16</f>
        <v>0</v>
      </c>
      <c r="BK16" s="26" t="s">
        <v>53</v>
      </c>
      <c r="BL16" s="24">
        <v>11</v>
      </c>
      <c r="BW16" s="24">
        <v>21</v>
      </c>
      <c r="BX16" s="4" t="s">
        <v>48</v>
      </c>
    </row>
    <row r="17" spans="1:76" ht="14.4" x14ac:dyDescent="0.3">
      <c r="A17" s="2" t="s">
        <v>54</v>
      </c>
      <c r="B17" s="3" t="s">
        <v>55</v>
      </c>
      <c r="C17" s="82" t="s">
        <v>56</v>
      </c>
      <c r="D17" s="81"/>
      <c r="E17" s="3" t="s">
        <v>49</v>
      </c>
      <c r="F17" s="24">
        <v>121.53</v>
      </c>
      <c r="G17" s="180">
        <v>0</v>
      </c>
      <c r="H17" s="24">
        <f t="shared" si="0"/>
        <v>0</v>
      </c>
      <c r="I17" s="24">
        <f t="shared" si="1"/>
        <v>0</v>
      </c>
      <c r="J17" s="24">
        <f t="shared" si="2"/>
        <v>0</v>
      </c>
      <c r="K17" s="25"/>
      <c r="Z17" s="24">
        <f t="shared" si="3"/>
        <v>0</v>
      </c>
      <c r="AB17" s="24">
        <f t="shared" si="4"/>
        <v>0</v>
      </c>
      <c r="AC17" s="24">
        <f t="shared" si="5"/>
        <v>0</v>
      </c>
      <c r="AD17" s="24">
        <f t="shared" si="6"/>
        <v>0</v>
      </c>
      <c r="AE17" s="24">
        <f t="shared" si="7"/>
        <v>0</v>
      </c>
      <c r="AF17" s="24">
        <f t="shared" si="8"/>
        <v>0</v>
      </c>
      <c r="AG17" s="24">
        <f t="shared" si="9"/>
        <v>0</v>
      </c>
      <c r="AH17" s="24">
        <f t="shared" si="10"/>
        <v>0</v>
      </c>
      <c r="AI17" s="10" t="s">
        <v>43</v>
      </c>
      <c r="AJ17" s="24">
        <f t="shared" si="11"/>
        <v>0</v>
      </c>
      <c r="AK17" s="24">
        <f t="shared" si="12"/>
        <v>0</v>
      </c>
      <c r="AL17" s="24">
        <f t="shared" si="13"/>
        <v>0</v>
      </c>
      <c r="AN17" s="24">
        <v>21</v>
      </c>
      <c r="AO17" s="24">
        <f t="shared" si="14"/>
        <v>0</v>
      </c>
      <c r="AP17" s="24">
        <f t="shared" si="15"/>
        <v>0</v>
      </c>
      <c r="AQ17" s="26" t="s">
        <v>46</v>
      </c>
      <c r="AV17" s="24">
        <f t="shared" si="16"/>
        <v>0</v>
      </c>
      <c r="AW17" s="24">
        <f t="shared" si="17"/>
        <v>0</v>
      </c>
      <c r="AX17" s="24">
        <f t="shared" si="18"/>
        <v>0</v>
      </c>
      <c r="AY17" s="26" t="s">
        <v>50</v>
      </c>
      <c r="AZ17" s="26" t="s">
        <v>51</v>
      </c>
      <c r="BA17" s="10" t="s">
        <v>52</v>
      </c>
      <c r="BC17" s="24">
        <f t="shared" si="19"/>
        <v>0</v>
      </c>
      <c r="BD17" s="24">
        <f t="shared" si="20"/>
        <v>0</v>
      </c>
      <c r="BE17" s="24">
        <v>0</v>
      </c>
      <c r="BF17" s="24">
        <f>14</f>
        <v>14</v>
      </c>
      <c r="BH17" s="24">
        <f t="shared" si="21"/>
        <v>0</v>
      </c>
      <c r="BI17" s="24">
        <f t="shared" si="22"/>
        <v>0</v>
      </c>
      <c r="BJ17" s="24">
        <f t="shared" si="23"/>
        <v>0</v>
      </c>
      <c r="BK17" s="26" t="s">
        <v>53</v>
      </c>
      <c r="BL17" s="24">
        <v>11</v>
      </c>
      <c r="BW17" s="24">
        <v>21</v>
      </c>
      <c r="BX17" s="4" t="s">
        <v>56</v>
      </c>
    </row>
    <row r="18" spans="1:76" ht="14.4" x14ac:dyDescent="0.3">
      <c r="A18" s="2" t="s">
        <v>57</v>
      </c>
      <c r="B18" s="3" t="s">
        <v>58</v>
      </c>
      <c r="C18" s="82" t="s">
        <v>59</v>
      </c>
      <c r="D18" s="81"/>
      <c r="E18" s="3" t="s">
        <v>60</v>
      </c>
      <c r="F18" s="24">
        <v>150</v>
      </c>
      <c r="G18" s="180">
        <v>0</v>
      </c>
      <c r="H18" s="24">
        <f t="shared" si="0"/>
        <v>0</v>
      </c>
      <c r="I18" s="24">
        <f t="shared" si="1"/>
        <v>0</v>
      </c>
      <c r="J18" s="24">
        <f t="shared" si="2"/>
        <v>0</v>
      </c>
      <c r="K18" s="25"/>
      <c r="Z18" s="24">
        <f t="shared" si="3"/>
        <v>0</v>
      </c>
      <c r="AB18" s="24">
        <f t="shared" si="4"/>
        <v>0</v>
      </c>
      <c r="AC18" s="24">
        <f t="shared" si="5"/>
        <v>0</v>
      </c>
      <c r="AD18" s="24">
        <f t="shared" si="6"/>
        <v>0</v>
      </c>
      <c r="AE18" s="24">
        <f t="shared" si="7"/>
        <v>0</v>
      </c>
      <c r="AF18" s="24">
        <f t="shared" si="8"/>
        <v>0</v>
      </c>
      <c r="AG18" s="24">
        <f t="shared" si="9"/>
        <v>0</v>
      </c>
      <c r="AH18" s="24">
        <f t="shared" si="10"/>
        <v>0</v>
      </c>
      <c r="AI18" s="10" t="s">
        <v>43</v>
      </c>
      <c r="AJ18" s="24">
        <f t="shared" si="11"/>
        <v>0</v>
      </c>
      <c r="AK18" s="24">
        <f t="shared" si="12"/>
        <v>0</v>
      </c>
      <c r="AL18" s="24">
        <f t="shared" si="13"/>
        <v>0</v>
      </c>
      <c r="AN18" s="24">
        <v>21</v>
      </c>
      <c r="AO18" s="24">
        <f t="shared" si="14"/>
        <v>0</v>
      </c>
      <c r="AP18" s="24">
        <f t="shared" si="15"/>
        <v>0</v>
      </c>
      <c r="AQ18" s="26" t="s">
        <v>46</v>
      </c>
      <c r="AV18" s="24">
        <f t="shared" si="16"/>
        <v>0</v>
      </c>
      <c r="AW18" s="24">
        <f t="shared" si="17"/>
        <v>0</v>
      </c>
      <c r="AX18" s="24">
        <f t="shared" si="18"/>
        <v>0</v>
      </c>
      <c r="AY18" s="26" t="s">
        <v>50</v>
      </c>
      <c r="AZ18" s="26" t="s">
        <v>51</v>
      </c>
      <c r="BA18" s="10" t="s">
        <v>52</v>
      </c>
      <c r="BC18" s="24">
        <f t="shared" si="19"/>
        <v>0</v>
      </c>
      <c r="BD18" s="24">
        <f t="shared" si="20"/>
        <v>0</v>
      </c>
      <c r="BE18" s="24">
        <v>0</v>
      </c>
      <c r="BF18" s="24">
        <f>15</f>
        <v>15</v>
      </c>
      <c r="BH18" s="24">
        <f t="shared" si="21"/>
        <v>0</v>
      </c>
      <c r="BI18" s="24">
        <f t="shared" si="22"/>
        <v>0</v>
      </c>
      <c r="BJ18" s="24">
        <f t="shared" si="23"/>
        <v>0</v>
      </c>
      <c r="BK18" s="26" t="s">
        <v>53</v>
      </c>
      <c r="BL18" s="24">
        <v>11</v>
      </c>
      <c r="BW18" s="24">
        <v>21</v>
      </c>
      <c r="BX18" s="4" t="s">
        <v>59</v>
      </c>
    </row>
    <row r="19" spans="1:76" ht="14.4" x14ac:dyDescent="0.3">
      <c r="A19" s="2" t="s">
        <v>61</v>
      </c>
      <c r="B19" s="3" t="s">
        <v>62</v>
      </c>
      <c r="C19" s="82" t="s">
        <v>63</v>
      </c>
      <c r="D19" s="81"/>
      <c r="E19" s="3" t="s">
        <v>60</v>
      </c>
      <c r="F19" s="24">
        <v>150</v>
      </c>
      <c r="G19" s="180">
        <v>0</v>
      </c>
      <c r="H19" s="24">
        <f t="shared" si="0"/>
        <v>0</v>
      </c>
      <c r="I19" s="24">
        <f t="shared" si="1"/>
        <v>0</v>
      </c>
      <c r="J19" s="24">
        <f t="shared" si="2"/>
        <v>0</v>
      </c>
      <c r="K19" s="25"/>
      <c r="Z19" s="24">
        <f t="shared" si="3"/>
        <v>0</v>
      </c>
      <c r="AB19" s="24">
        <f t="shared" si="4"/>
        <v>0</v>
      </c>
      <c r="AC19" s="24">
        <f t="shared" si="5"/>
        <v>0</v>
      </c>
      <c r="AD19" s="24">
        <f t="shared" si="6"/>
        <v>0</v>
      </c>
      <c r="AE19" s="24">
        <f t="shared" si="7"/>
        <v>0</v>
      </c>
      <c r="AF19" s="24">
        <f t="shared" si="8"/>
        <v>0</v>
      </c>
      <c r="AG19" s="24">
        <f t="shared" si="9"/>
        <v>0</v>
      </c>
      <c r="AH19" s="24">
        <f t="shared" si="10"/>
        <v>0</v>
      </c>
      <c r="AI19" s="10" t="s">
        <v>43</v>
      </c>
      <c r="AJ19" s="24">
        <f t="shared" si="11"/>
        <v>0</v>
      </c>
      <c r="AK19" s="24">
        <f t="shared" si="12"/>
        <v>0</v>
      </c>
      <c r="AL19" s="24">
        <f t="shared" si="13"/>
        <v>0</v>
      </c>
      <c r="AN19" s="24">
        <v>21</v>
      </c>
      <c r="AO19" s="24">
        <f t="shared" si="14"/>
        <v>0</v>
      </c>
      <c r="AP19" s="24">
        <f t="shared" si="15"/>
        <v>0</v>
      </c>
      <c r="AQ19" s="26" t="s">
        <v>46</v>
      </c>
      <c r="AV19" s="24">
        <f t="shared" si="16"/>
        <v>0</v>
      </c>
      <c r="AW19" s="24">
        <f t="shared" si="17"/>
        <v>0</v>
      </c>
      <c r="AX19" s="24">
        <f t="shared" si="18"/>
        <v>0</v>
      </c>
      <c r="AY19" s="26" t="s">
        <v>50</v>
      </c>
      <c r="AZ19" s="26" t="s">
        <v>51</v>
      </c>
      <c r="BA19" s="10" t="s">
        <v>52</v>
      </c>
      <c r="BC19" s="24">
        <f t="shared" si="19"/>
        <v>0</v>
      </c>
      <c r="BD19" s="24">
        <f t="shared" si="20"/>
        <v>0</v>
      </c>
      <c r="BE19" s="24">
        <v>0</v>
      </c>
      <c r="BF19" s="24">
        <f>16</f>
        <v>16</v>
      </c>
      <c r="BH19" s="24">
        <f t="shared" si="21"/>
        <v>0</v>
      </c>
      <c r="BI19" s="24">
        <f t="shared" si="22"/>
        <v>0</v>
      </c>
      <c r="BJ19" s="24">
        <f t="shared" si="23"/>
        <v>0</v>
      </c>
      <c r="BK19" s="26" t="s">
        <v>53</v>
      </c>
      <c r="BL19" s="24">
        <v>11</v>
      </c>
      <c r="BW19" s="24">
        <v>21</v>
      </c>
      <c r="BX19" s="4" t="s">
        <v>63</v>
      </c>
    </row>
    <row r="20" spans="1:76" ht="14.4" x14ac:dyDescent="0.3">
      <c r="A20" s="2" t="s">
        <v>64</v>
      </c>
      <c r="B20" s="3" t="s">
        <v>65</v>
      </c>
      <c r="C20" s="82" t="s">
        <v>66</v>
      </c>
      <c r="D20" s="81"/>
      <c r="E20" s="3" t="s">
        <v>60</v>
      </c>
      <c r="F20" s="24">
        <v>150</v>
      </c>
      <c r="G20" s="180">
        <v>0</v>
      </c>
      <c r="H20" s="24">
        <f t="shared" si="0"/>
        <v>0</v>
      </c>
      <c r="I20" s="24">
        <f t="shared" si="1"/>
        <v>0</v>
      </c>
      <c r="J20" s="24">
        <f t="shared" si="2"/>
        <v>0</v>
      </c>
      <c r="K20" s="25"/>
      <c r="Z20" s="24">
        <f t="shared" si="3"/>
        <v>0</v>
      </c>
      <c r="AB20" s="24">
        <f t="shared" si="4"/>
        <v>0</v>
      </c>
      <c r="AC20" s="24">
        <f t="shared" si="5"/>
        <v>0</v>
      </c>
      <c r="AD20" s="24">
        <f t="shared" si="6"/>
        <v>0</v>
      </c>
      <c r="AE20" s="24">
        <f t="shared" si="7"/>
        <v>0</v>
      </c>
      <c r="AF20" s="24">
        <f t="shared" si="8"/>
        <v>0</v>
      </c>
      <c r="AG20" s="24">
        <f t="shared" si="9"/>
        <v>0</v>
      </c>
      <c r="AH20" s="24">
        <f t="shared" si="10"/>
        <v>0</v>
      </c>
      <c r="AI20" s="10" t="s">
        <v>43</v>
      </c>
      <c r="AJ20" s="24">
        <f t="shared" si="11"/>
        <v>0</v>
      </c>
      <c r="AK20" s="24">
        <f t="shared" si="12"/>
        <v>0</v>
      </c>
      <c r="AL20" s="24">
        <f t="shared" si="13"/>
        <v>0</v>
      </c>
      <c r="AN20" s="24">
        <v>21</v>
      </c>
      <c r="AO20" s="24">
        <f t="shared" si="14"/>
        <v>0</v>
      </c>
      <c r="AP20" s="24">
        <f t="shared" si="15"/>
        <v>0</v>
      </c>
      <c r="AQ20" s="26" t="s">
        <v>46</v>
      </c>
      <c r="AV20" s="24">
        <f t="shared" si="16"/>
        <v>0</v>
      </c>
      <c r="AW20" s="24">
        <f t="shared" si="17"/>
        <v>0</v>
      </c>
      <c r="AX20" s="24">
        <f t="shared" si="18"/>
        <v>0</v>
      </c>
      <c r="AY20" s="26" t="s">
        <v>50</v>
      </c>
      <c r="AZ20" s="26" t="s">
        <v>51</v>
      </c>
      <c r="BA20" s="10" t="s">
        <v>52</v>
      </c>
      <c r="BC20" s="24">
        <f t="shared" si="19"/>
        <v>0</v>
      </c>
      <c r="BD20" s="24">
        <f t="shared" si="20"/>
        <v>0</v>
      </c>
      <c r="BE20" s="24">
        <v>0</v>
      </c>
      <c r="BF20" s="24">
        <f>17</f>
        <v>17</v>
      </c>
      <c r="BH20" s="24">
        <f t="shared" si="21"/>
        <v>0</v>
      </c>
      <c r="BI20" s="24">
        <f t="shared" si="22"/>
        <v>0</v>
      </c>
      <c r="BJ20" s="24">
        <f t="shared" si="23"/>
        <v>0</v>
      </c>
      <c r="BK20" s="26" t="s">
        <v>53</v>
      </c>
      <c r="BL20" s="24">
        <v>11</v>
      </c>
      <c r="BW20" s="24">
        <v>21</v>
      </c>
      <c r="BX20" s="4" t="s">
        <v>66</v>
      </c>
    </row>
    <row r="21" spans="1:76" ht="14.4" x14ac:dyDescent="0.3">
      <c r="A21" s="2" t="s">
        <v>67</v>
      </c>
      <c r="B21" s="3" t="s">
        <v>68</v>
      </c>
      <c r="C21" s="82" t="s">
        <v>69</v>
      </c>
      <c r="D21" s="81"/>
      <c r="E21" s="3" t="s">
        <v>70</v>
      </c>
      <c r="F21" s="24">
        <v>1</v>
      </c>
      <c r="G21" s="180">
        <v>0</v>
      </c>
      <c r="H21" s="24">
        <f t="shared" si="0"/>
        <v>0</v>
      </c>
      <c r="I21" s="24">
        <f t="shared" si="1"/>
        <v>0</v>
      </c>
      <c r="J21" s="24">
        <f t="shared" si="2"/>
        <v>0</v>
      </c>
      <c r="K21" s="25"/>
      <c r="Z21" s="24">
        <f t="shared" si="3"/>
        <v>0</v>
      </c>
      <c r="AB21" s="24">
        <f t="shared" si="4"/>
        <v>0</v>
      </c>
      <c r="AC21" s="24">
        <f t="shared" si="5"/>
        <v>0</v>
      </c>
      <c r="AD21" s="24">
        <f t="shared" si="6"/>
        <v>0</v>
      </c>
      <c r="AE21" s="24">
        <f t="shared" si="7"/>
        <v>0</v>
      </c>
      <c r="AF21" s="24">
        <f t="shared" si="8"/>
        <v>0</v>
      </c>
      <c r="AG21" s="24">
        <f t="shared" si="9"/>
        <v>0</v>
      </c>
      <c r="AH21" s="24">
        <f t="shared" si="10"/>
        <v>0</v>
      </c>
      <c r="AI21" s="10" t="s">
        <v>43</v>
      </c>
      <c r="AJ21" s="24">
        <f t="shared" si="11"/>
        <v>0</v>
      </c>
      <c r="AK21" s="24">
        <f t="shared" si="12"/>
        <v>0</v>
      </c>
      <c r="AL21" s="24">
        <f t="shared" si="13"/>
        <v>0</v>
      </c>
      <c r="AN21" s="24">
        <v>21</v>
      </c>
      <c r="AO21" s="24">
        <f t="shared" si="14"/>
        <v>0</v>
      </c>
      <c r="AP21" s="24">
        <f t="shared" si="15"/>
        <v>0</v>
      </c>
      <c r="AQ21" s="26" t="s">
        <v>46</v>
      </c>
      <c r="AV21" s="24">
        <f t="shared" si="16"/>
        <v>0</v>
      </c>
      <c r="AW21" s="24">
        <f t="shared" si="17"/>
        <v>0</v>
      </c>
      <c r="AX21" s="24">
        <f t="shared" si="18"/>
        <v>0</v>
      </c>
      <c r="AY21" s="26" t="s">
        <v>50</v>
      </c>
      <c r="AZ21" s="26" t="s">
        <v>51</v>
      </c>
      <c r="BA21" s="10" t="s">
        <v>52</v>
      </c>
      <c r="BC21" s="24">
        <f t="shared" si="19"/>
        <v>0</v>
      </c>
      <c r="BD21" s="24">
        <f t="shared" si="20"/>
        <v>0</v>
      </c>
      <c r="BE21" s="24">
        <v>0</v>
      </c>
      <c r="BF21" s="24">
        <f>18</f>
        <v>18</v>
      </c>
      <c r="BH21" s="24">
        <f t="shared" si="21"/>
        <v>0</v>
      </c>
      <c r="BI21" s="24">
        <f t="shared" si="22"/>
        <v>0</v>
      </c>
      <c r="BJ21" s="24">
        <f t="shared" si="23"/>
        <v>0</v>
      </c>
      <c r="BK21" s="26" t="s">
        <v>53</v>
      </c>
      <c r="BL21" s="24">
        <v>11</v>
      </c>
      <c r="BW21" s="24">
        <v>21</v>
      </c>
      <c r="BX21" s="4" t="s">
        <v>69</v>
      </c>
    </row>
    <row r="22" spans="1:76" ht="14.4" x14ac:dyDescent="0.3">
      <c r="A22" s="27" t="s">
        <v>43</v>
      </c>
      <c r="B22" s="28" t="s">
        <v>71</v>
      </c>
      <c r="C22" s="98" t="s">
        <v>72</v>
      </c>
      <c r="D22" s="99"/>
      <c r="E22" s="29" t="s">
        <v>3</v>
      </c>
      <c r="F22" s="29" t="s">
        <v>3</v>
      </c>
      <c r="G22" s="29" t="s">
        <v>3</v>
      </c>
      <c r="H22" s="1">
        <f>ROUND(SUM(H23:H23),2)</f>
        <v>0</v>
      </c>
      <c r="I22" s="1">
        <f>ROUND(SUM(I23:I23),2)</f>
        <v>0</v>
      </c>
      <c r="J22" s="1">
        <f>ROUND(SUM(J23:J23),2)</f>
        <v>0</v>
      </c>
      <c r="K22" s="30"/>
      <c r="AI22" s="10" t="s">
        <v>43</v>
      </c>
      <c r="AS22" s="1">
        <f>SUM(AJ23:AJ23)</f>
        <v>0</v>
      </c>
      <c r="AT22" s="1">
        <f>SUM(AK23:AK23)</f>
        <v>0</v>
      </c>
      <c r="AU22" s="1">
        <f>SUM(AL23:AL23)</f>
        <v>0</v>
      </c>
    </row>
    <row r="23" spans="1:76" ht="14.4" x14ac:dyDescent="0.3">
      <c r="A23" s="2" t="s">
        <v>73</v>
      </c>
      <c r="B23" s="3" t="s">
        <v>74</v>
      </c>
      <c r="C23" s="82" t="s">
        <v>75</v>
      </c>
      <c r="D23" s="81"/>
      <c r="E23" s="3" t="s">
        <v>76</v>
      </c>
      <c r="F23" s="24">
        <v>15</v>
      </c>
      <c r="G23" s="180">
        <v>0</v>
      </c>
      <c r="H23" s="24">
        <f>ROUND(F23*AO23,2)</f>
        <v>0</v>
      </c>
      <c r="I23" s="24">
        <f>ROUND(F23*AP23,2)</f>
        <v>0</v>
      </c>
      <c r="J23" s="24">
        <f>ROUND(F23*G23,2)</f>
        <v>0</v>
      </c>
      <c r="K23" s="25"/>
      <c r="Z23" s="24">
        <f>ROUND(IF(AQ23="5",BJ23,0),2)</f>
        <v>0</v>
      </c>
      <c r="AB23" s="24">
        <f>ROUND(IF(AQ23="1",BH23,0),2)</f>
        <v>0</v>
      </c>
      <c r="AC23" s="24">
        <f>ROUND(IF(AQ23="1",BI23,0),2)</f>
        <v>0</v>
      </c>
      <c r="AD23" s="24">
        <f>ROUND(IF(AQ23="7",BH23,0),2)</f>
        <v>0</v>
      </c>
      <c r="AE23" s="24">
        <f>ROUND(IF(AQ23="7",BI23,0),2)</f>
        <v>0</v>
      </c>
      <c r="AF23" s="24">
        <f>ROUND(IF(AQ23="2",BH23,0),2)</f>
        <v>0</v>
      </c>
      <c r="AG23" s="24">
        <f>ROUND(IF(AQ23="2",BI23,0),2)</f>
        <v>0</v>
      </c>
      <c r="AH23" s="24">
        <f>ROUND(IF(AQ23="0",BJ23,0),2)</f>
        <v>0</v>
      </c>
      <c r="AI23" s="10" t="s">
        <v>43</v>
      </c>
      <c r="AJ23" s="24">
        <f>IF(AN23=0,J23,0)</f>
        <v>0</v>
      </c>
      <c r="AK23" s="24">
        <f>IF(AN23=12,J23,0)</f>
        <v>0</v>
      </c>
      <c r="AL23" s="24">
        <f>IF(AN23=21,J23,0)</f>
        <v>0</v>
      </c>
      <c r="AN23" s="24">
        <v>21</v>
      </c>
      <c r="AO23" s="24">
        <f>G23*0.345431034</f>
        <v>0</v>
      </c>
      <c r="AP23" s="24">
        <f>G23*(1-0.345431034)</f>
        <v>0</v>
      </c>
      <c r="AQ23" s="26" t="s">
        <v>46</v>
      </c>
      <c r="AV23" s="24">
        <f>ROUND(AW23+AX23,2)</f>
        <v>0</v>
      </c>
      <c r="AW23" s="24">
        <f>ROUND(F23*AO23,2)</f>
        <v>0</v>
      </c>
      <c r="AX23" s="24">
        <f>ROUND(F23*AP23,2)</f>
        <v>0</v>
      </c>
      <c r="AY23" s="26" t="s">
        <v>77</v>
      </c>
      <c r="AZ23" s="26" t="s">
        <v>78</v>
      </c>
      <c r="BA23" s="10" t="s">
        <v>52</v>
      </c>
      <c r="BC23" s="24">
        <f>AW23+AX23</f>
        <v>0</v>
      </c>
      <c r="BD23" s="24">
        <f>G23/(100-BE23)*100</f>
        <v>0</v>
      </c>
      <c r="BE23" s="24">
        <v>0</v>
      </c>
      <c r="BF23" s="24">
        <f>20</f>
        <v>20</v>
      </c>
      <c r="BH23" s="24">
        <f>F23*AO23</f>
        <v>0</v>
      </c>
      <c r="BI23" s="24">
        <f>F23*AP23</f>
        <v>0</v>
      </c>
      <c r="BJ23" s="24">
        <f>F23*G23</f>
        <v>0</v>
      </c>
      <c r="BK23" s="26" t="s">
        <v>53</v>
      </c>
      <c r="BL23" s="24">
        <v>31</v>
      </c>
      <c r="BW23" s="24">
        <v>21</v>
      </c>
      <c r="BX23" s="4" t="s">
        <v>75</v>
      </c>
    </row>
    <row r="24" spans="1:76" ht="14.4" x14ac:dyDescent="0.3">
      <c r="A24" s="27" t="s">
        <v>43</v>
      </c>
      <c r="B24" s="28" t="s">
        <v>79</v>
      </c>
      <c r="C24" s="98" t="s">
        <v>80</v>
      </c>
      <c r="D24" s="99"/>
      <c r="E24" s="29" t="s">
        <v>3</v>
      </c>
      <c r="F24" s="29" t="s">
        <v>3</v>
      </c>
      <c r="G24" s="29" t="s">
        <v>3</v>
      </c>
      <c r="H24" s="1">
        <f>ROUND(SUM(H25:H35),2)</f>
        <v>0</v>
      </c>
      <c r="I24" s="1">
        <f>ROUND(SUM(I25:I35),2)</f>
        <v>0</v>
      </c>
      <c r="J24" s="1">
        <f>ROUND(SUM(J25:J35),2)</f>
        <v>0</v>
      </c>
      <c r="K24" s="30"/>
      <c r="AI24" s="10" t="s">
        <v>43</v>
      </c>
      <c r="AS24" s="1">
        <f>SUM(AJ25:AJ35)</f>
        <v>0</v>
      </c>
      <c r="AT24" s="1">
        <f>SUM(AK25:AK35)</f>
        <v>0</v>
      </c>
      <c r="AU24" s="1">
        <f>SUM(AL25:AL35)</f>
        <v>0</v>
      </c>
    </row>
    <row r="25" spans="1:76" ht="26.4" x14ac:dyDescent="0.3">
      <c r="A25" s="2" t="s">
        <v>81</v>
      </c>
      <c r="B25" s="3" t="s">
        <v>82</v>
      </c>
      <c r="C25" s="82" t="s">
        <v>83</v>
      </c>
      <c r="D25" s="81"/>
      <c r="E25" s="3" t="s">
        <v>49</v>
      </c>
      <c r="F25" s="24">
        <v>135</v>
      </c>
      <c r="G25" s="180">
        <v>0</v>
      </c>
      <c r="H25" s="24">
        <f t="shared" ref="H25:H35" si="24">ROUND(F25*AO25,2)</f>
        <v>0</v>
      </c>
      <c r="I25" s="24">
        <f t="shared" ref="I25:I35" si="25">ROUND(F25*AP25,2)</f>
        <v>0</v>
      </c>
      <c r="J25" s="24">
        <f t="shared" ref="J25:J35" si="26">ROUND(F25*G25,2)</f>
        <v>0</v>
      </c>
      <c r="K25" s="25"/>
      <c r="Z25" s="24">
        <f t="shared" ref="Z25:Z35" si="27">ROUND(IF(AQ25="5",BJ25,0),2)</f>
        <v>0</v>
      </c>
      <c r="AB25" s="24">
        <f t="shared" ref="AB25:AB35" si="28">ROUND(IF(AQ25="1",BH25,0),2)</f>
        <v>0</v>
      </c>
      <c r="AC25" s="24">
        <f t="shared" ref="AC25:AC35" si="29">ROUND(IF(AQ25="1",BI25,0),2)</f>
        <v>0</v>
      </c>
      <c r="AD25" s="24">
        <f t="shared" ref="AD25:AD35" si="30">ROUND(IF(AQ25="7",BH25,0),2)</f>
        <v>0</v>
      </c>
      <c r="AE25" s="24">
        <f t="shared" ref="AE25:AE35" si="31">ROUND(IF(AQ25="7",BI25,0),2)</f>
        <v>0</v>
      </c>
      <c r="AF25" s="24">
        <f t="shared" ref="AF25:AF35" si="32">ROUND(IF(AQ25="2",BH25,0),2)</f>
        <v>0</v>
      </c>
      <c r="AG25" s="24">
        <f t="shared" ref="AG25:AG35" si="33">ROUND(IF(AQ25="2",BI25,0),2)</f>
        <v>0</v>
      </c>
      <c r="AH25" s="24">
        <f t="shared" ref="AH25:AH35" si="34">ROUND(IF(AQ25="0",BJ25,0),2)</f>
        <v>0</v>
      </c>
      <c r="AI25" s="10" t="s">
        <v>43</v>
      </c>
      <c r="AJ25" s="24">
        <f t="shared" ref="AJ25:AJ35" si="35">IF(AN25=0,J25,0)</f>
        <v>0</v>
      </c>
      <c r="AK25" s="24">
        <f t="shared" ref="AK25:AK35" si="36">IF(AN25=12,J25,0)</f>
        <v>0</v>
      </c>
      <c r="AL25" s="24">
        <f t="shared" ref="AL25:AL35" si="37">IF(AN25=21,J25,0)</f>
        <v>0</v>
      </c>
      <c r="AN25" s="24">
        <v>21</v>
      </c>
      <c r="AO25" s="24">
        <f>G25*0.36415218</f>
        <v>0</v>
      </c>
      <c r="AP25" s="24">
        <f>G25*(1-0.36415218)</f>
        <v>0</v>
      </c>
      <c r="AQ25" s="26" t="s">
        <v>46</v>
      </c>
      <c r="AV25" s="24">
        <f t="shared" ref="AV25:AV35" si="38">ROUND(AW25+AX25,2)</f>
        <v>0</v>
      </c>
      <c r="AW25" s="24">
        <f t="shared" ref="AW25:AW35" si="39">ROUND(F25*AO25,2)</f>
        <v>0</v>
      </c>
      <c r="AX25" s="24">
        <f t="shared" ref="AX25:AX35" si="40">ROUND(F25*AP25,2)</f>
        <v>0</v>
      </c>
      <c r="AY25" s="26" t="s">
        <v>84</v>
      </c>
      <c r="AZ25" s="26" t="s">
        <v>78</v>
      </c>
      <c r="BA25" s="10" t="s">
        <v>52</v>
      </c>
      <c r="BC25" s="24">
        <f t="shared" ref="BC25:BC35" si="41">AW25+AX25</f>
        <v>0</v>
      </c>
      <c r="BD25" s="24">
        <f t="shared" ref="BD25:BD35" si="42">G25/(100-BE25)*100</f>
        <v>0</v>
      </c>
      <c r="BE25" s="24">
        <v>0</v>
      </c>
      <c r="BF25" s="24">
        <f>22</f>
        <v>22</v>
      </c>
      <c r="BH25" s="24">
        <f t="shared" ref="BH25:BH35" si="43">F25*AO25</f>
        <v>0</v>
      </c>
      <c r="BI25" s="24">
        <f t="shared" ref="BI25:BI35" si="44">F25*AP25</f>
        <v>0</v>
      </c>
      <c r="BJ25" s="24">
        <f t="shared" ref="BJ25:BJ35" si="45">F25*G25</f>
        <v>0</v>
      </c>
      <c r="BK25" s="26" t="s">
        <v>53</v>
      </c>
      <c r="BL25" s="24">
        <v>34</v>
      </c>
      <c r="BW25" s="24">
        <v>21</v>
      </c>
      <c r="BX25" s="4" t="s">
        <v>83</v>
      </c>
    </row>
    <row r="26" spans="1:76" ht="14.4" x14ac:dyDescent="0.3">
      <c r="A26" s="2" t="s">
        <v>85</v>
      </c>
      <c r="B26" s="3" t="s">
        <v>86</v>
      </c>
      <c r="C26" s="82" t="s">
        <v>87</v>
      </c>
      <c r="D26" s="81"/>
      <c r="E26" s="3" t="s">
        <v>49</v>
      </c>
      <c r="F26" s="24">
        <v>108.6</v>
      </c>
      <c r="G26" s="180">
        <v>0</v>
      </c>
      <c r="H26" s="24">
        <f t="shared" si="24"/>
        <v>0</v>
      </c>
      <c r="I26" s="24">
        <f t="shared" si="25"/>
        <v>0</v>
      </c>
      <c r="J26" s="24">
        <f t="shared" si="26"/>
        <v>0</v>
      </c>
      <c r="K26" s="25"/>
      <c r="Z26" s="24">
        <f t="shared" si="27"/>
        <v>0</v>
      </c>
      <c r="AB26" s="24">
        <f t="shared" si="28"/>
        <v>0</v>
      </c>
      <c r="AC26" s="24">
        <f t="shared" si="29"/>
        <v>0</v>
      </c>
      <c r="AD26" s="24">
        <f t="shared" si="30"/>
        <v>0</v>
      </c>
      <c r="AE26" s="24">
        <f t="shared" si="31"/>
        <v>0</v>
      </c>
      <c r="AF26" s="24">
        <f t="shared" si="32"/>
        <v>0</v>
      </c>
      <c r="AG26" s="24">
        <f t="shared" si="33"/>
        <v>0</v>
      </c>
      <c r="AH26" s="24">
        <f t="shared" si="34"/>
        <v>0</v>
      </c>
      <c r="AI26" s="10" t="s">
        <v>43</v>
      </c>
      <c r="AJ26" s="24">
        <f t="shared" si="35"/>
        <v>0</v>
      </c>
      <c r="AK26" s="24">
        <f t="shared" si="36"/>
        <v>0</v>
      </c>
      <c r="AL26" s="24">
        <f t="shared" si="37"/>
        <v>0</v>
      </c>
      <c r="AN26" s="24">
        <v>21</v>
      </c>
      <c r="AO26" s="24">
        <f>G26*0.583679731</f>
        <v>0</v>
      </c>
      <c r="AP26" s="24">
        <f>G26*(1-0.583679731)</f>
        <v>0</v>
      </c>
      <c r="AQ26" s="26" t="s">
        <v>46</v>
      </c>
      <c r="AV26" s="24">
        <f t="shared" si="38"/>
        <v>0</v>
      </c>
      <c r="AW26" s="24">
        <f t="shared" si="39"/>
        <v>0</v>
      </c>
      <c r="AX26" s="24">
        <f t="shared" si="40"/>
        <v>0</v>
      </c>
      <c r="AY26" s="26" t="s">
        <v>84</v>
      </c>
      <c r="AZ26" s="26" t="s">
        <v>78</v>
      </c>
      <c r="BA26" s="10" t="s">
        <v>52</v>
      </c>
      <c r="BC26" s="24">
        <f t="shared" si="41"/>
        <v>0</v>
      </c>
      <c r="BD26" s="24">
        <f t="shared" si="42"/>
        <v>0</v>
      </c>
      <c r="BE26" s="24">
        <v>0</v>
      </c>
      <c r="BF26" s="24">
        <f>23</f>
        <v>23</v>
      </c>
      <c r="BH26" s="24">
        <f t="shared" si="43"/>
        <v>0</v>
      </c>
      <c r="BI26" s="24">
        <f t="shared" si="44"/>
        <v>0</v>
      </c>
      <c r="BJ26" s="24">
        <f t="shared" si="45"/>
        <v>0</v>
      </c>
      <c r="BK26" s="26" t="s">
        <v>53</v>
      </c>
      <c r="BL26" s="24">
        <v>34</v>
      </c>
      <c r="BW26" s="24">
        <v>21</v>
      </c>
      <c r="BX26" s="4" t="s">
        <v>87</v>
      </c>
    </row>
    <row r="27" spans="1:76" ht="14.4" x14ac:dyDescent="0.3">
      <c r="A27" s="2" t="s">
        <v>88</v>
      </c>
      <c r="B27" s="3" t="s">
        <v>89</v>
      </c>
      <c r="C27" s="82" t="s">
        <v>90</v>
      </c>
      <c r="D27" s="81"/>
      <c r="E27" s="3" t="s">
        <v>91</v>
      </c>
      <c r="F27" s="24">
        <v>3.6</v>
      </c>
      <c r="G27" s="180">
        <v>0</v>
      </c>
      <c r="H27" s="24">
        <f t="shared" si="24"/>
        <v>0</v>
      </c>
      <c r="I27" s="24">
        <f t="shared" si="25"/>
        <v>0</v>
      </c>
      <c r="J27" s="24">
        <f t="shared" si="26"/>
        <v>0</v>
      </c>
      <c r="K27" s="25"/>
      <c r="Z27" s="24">
        <f t="shared" si="27"/>
        <v>0</v>
      </c>
      <c r="AB27" s="24">
        <f t="shared" si="28"/>
        <v>0</v>
      </c>
      <c r="AC27" s="24">
        <f t="shared" si="29"/>
        <v>0</v>
      </c>
      <c r="AD27" s="24">
        <f t="shared" si="30"/>
        <v>0</v>
      </c>
      <c r="AE27" s="24">
        <f t="shared" si="31"/>
        <v>0</v>
      </c>
      <c r="AF27" s="24">
        <f t="shared" si="32"/>
        <v>0</v>
      </c>
      <c r="AG27" s="24">
        <f t="shared" si="33"/>
        <v>0</v>
      </c>
      <c r="AH27" s="24">
        <f t="shared" si="34"/>
        <v>0</v>
      </c>
      <c r="AI27" s="10" t="s">
        <v>43</v>
      </c>
      <c r="AJ27" s="24">
        <f t="shared" si="35"/>
        <v>0</v>
      </c>
      <c r="AK27" s="24">
        <f t="shared" si="36"/>
        <v>0</v>
      </c>
      <c r="AL27" s="24">
        <f t="shared" si="37"/>
        <v>0</v>
      </c>
      <c r="AN27" s="24">
        <v>21</v>
      </c>
      <c r="AO27" s="24">
        <f>G27*0.128352621</f>
        <v>0</v>
      </c>
      <c r="AP27" s="24">
        <f>G27*(1-0.128352621)</f>
        <v>0</v>
      </c>
      <c r="AQ27" s="26" t="s">
        <v>46</v>
      </c>
      <c r="AV27" s="24">
        <f t="shared" si="38"/>
        <v>0</v>
      </c>
      <c r="AW27" s="24">
        <f t="shared" si="39"/>
        <v>0</v>
      </c>
      <c r="AX27" s="24">
        <f t="shared" si="40"/>
        <v>0</v>
      </c>
      <c r="AY27" s="26" t="s">
        <v>84</v>
      </c>
      <c r="AZ27" s="26" t="s">
        <v>78</v>
      </c>
      <c r="BA27" s="10" t="s">
        <v>52</v>
      </c>
      <c r="BC27" s="24">
        <f t="shared" si="41"/>
        <v>0</v>
      </c>
      <c r="BD27" s="24">
        <f t="shared" si="42"/>
        <v>0</v>
      </c>
      <c r="BE27" s="24">
        <v>0</v>
      </c>
      <c r="BF27" s="24">
        <f>24</f>
        <v>24</v>
      </c>
      <c r="BH27" s="24">
        <f t="shared" si="43"/>
        <v>0</v>
      </c>
      <c r="BI27" s="24">
        <f t="shared" si="44"/>
        <v>0</v>
      </c>
      <c r="BJ27" s="24">
        <f t="shared" si="45"/>
        <v>0</v>
      </c>
      <c r="BK27" s="26" t="s">
        <v>53</v>
      </c>
      <c r="BL27" s="24">
        <v>34</v>
      </c>
      <c r="BW27" s="24">
        <v>21</v>
      </c>
      <c r="BX27" s="4" t="s">
        <v>90</v>
      </c>
    </row>
    <row r="28" spans="1:76" ht="14.4" x14ac:dyDescent="0.3">
      <c r="A28" s="2" t="s">
        <v>44</v>
      </c>
      <c r="B28" s="3" t="s">
        <v>92</v>
      </c>
      <c r="C28" s="82" t="s">
        <v>1381</v>
      </c>
      <c r="D28" s="81"/>
      <c r="E28" s="3" t="s">
        <v>76</v>
      </c>
      <c r="F28" s="24">
        <v>1</v>
      </c>
      <c r="G28" s="180">
        <v>0</v>
      </c>
      <c r="H28" s="24">
        <f t="shared" si="24"/>
        <v>0</v>
      </c>
      <c r="I28" s="24">
        <f t="shared" si="25"/>
        <v>0</v>
      </c>
      <c r="J28" s="24">
        <f t="shared" si="26"/>
        <v>0</v>
      </c>
      <c r="K28" s="25"/>
      <c r="Z28" s="24">
        <f t="shared" si="27"/>
        <v>0</v>
      </c>
      <c r="AB28" s="24">
        <f t="shared" si="28"/>
        <v>0</v>
      </c>
      <c r="AC28" s="24">
        <f t="shared" si="29"/>
        <v>0</v>
      </c>
      <c r="AD28" s="24">
        <f t="shared" si="30"/>
        <v>0</v>
      </c>
      <c r="AE28" s="24">
        <f t="shared" si="31"/>
        <v>0</v>
      </c>
      <c r="AF28" s="24">
        <f t="shared" si="32"/>
        <v>0</v>
      </c>
      <c r="AG28" s="24">
        <f t="shared" si="33"/>
        <v>0</v>
      </c>
      <c r="AH28" s="24">
        <f t="shared" si="34"/>
        <v>0</v>
      </c>
      <c r="AI28" s="10" t="s">
        <v>43</v>
      </c>
      <c r="AJ28" s="24">
        <f t="shared" si="35"/>
        <v>0</v>
      </c>
      <c r="AK28" s="24">
        <f t="shared" si="36"/>
        <v>0</v>
      </c>
      <c r="AL28" s="24">
        <f t="shared" si="37"/>
        <v>0</v>
      </c>
      <c r="AN28" s="24">
        <v>21</v>
      </c>
      <c r="AO28" s="24">
        <f>G28*0.859792366</f>
        <v>0</v>
      </c>
      <c r="AP28" s="24">
        <f>G28*(1-0.859792366)</f>
        <v>0</v>
      </c>
      <c r="AQ28" s="26" t="s">
        <v>46</v>
      </c>
      <c r="AV28" s="24">
        <f t="shared" si="38"/>
        <v>0</v>
      </c>
      <c r="AW28" s="24">
        <f t="shared" si="39"/>
        <v>0</v>
      </c>
      <c r="AX28" s="24">
        <f t="shared" si="40"/>
        <v>0</v>
      </c>
      <c r="AY28" s="26" t="s">
        <v>84</v>
      </c>
      <c r="AZ28" s="26" t="s">
        <v>78</v>
      </c>
      <c r="BA28" s="10" t="s">
        <v>52</v>
      </c>
      <c r="BC28" s="24">
        <f t="shared" si="41"/>
        <v>0</v>
      </c>
      <c r="BD28" s="24">
        <f t="shared" si="42"/>
        <v>0</v>
      </c>
      <c r="BE28" s="24">
        <v>0</v>
      </c>
      <c r="BF28" s="24">
        <f>25</f>
        <v>25</v>
      </c>
      <c r="BH28" s="24">
        <f t="shared" si="43"/>
        <v>0</v>
      </c>
      <c r="BI28" s="24">
        <f t="shared" si="44"/>
        <v>0</v>
      </c>
      <c r="BJ28" s="24">
        <f t="shared" si="45"/>
        <v>0</v>
      </c>
      <c r="BK28" s="26" t="s">
        <v>53</v>
      </c>
      <c r="BL28" s="24">
        <v>34</v>
      </c>
      <c r="BW28" s="24">
        <v>21</v>
      </c>
      <c r="BX28" s="4" t="s">
        <v>93</v>
      </c>
    </row>
    <row r="29" spans="1:76" ht="14.4" x14ac:dyDescent="0.3">
      <c r="A29" s="2" t="s">
        <v>94</v>
      </c>
      <c r="B29" s="3" t="s">
        <v>95</v>
      </c>
      <c r="C29" s="82" t="s">
        <v>96</v>
      </c>
      <c r="D29" s="81"/>
      <c r="E29" s="3" t="s">
        <v>91</v>
      </c>
      <c r="F29" s="24">
        <v>1.5</v>
      </c>
      <c r="G29" s="180">
        <v>0</v>
      </c>
      <c r="H29" s="24">
        <f t="shared" si="24"/>
        <v>0</v>
      </c>
      <c r="I29" s="24">
        <f t="shared" si="25"/>
        <v>0</v>
      </c>
      <c r="J29" s="24">
        <f t="shared" si="26"/>
        <v>0</v>
      </c>
      <c r="K29" s="25"/>
      <c r="Z29" s="24">
        <f t="shared" si="27"/>
        <v>0</v>
      </c>
      <c r="AB29" s="24">
        <f t="shared" si="28"/>
        <v>0</v>
      </c>
      <c r="AC29" s="24">
        <f t="shared" si="29"/>
        <v>0</v>
      </c>
      <c r="AD29" s="24">
        <f t="shared" si="30"/>
        <v>0</v>
      </c>
      <c r="AE29" s="24">
        <f t="shared" si="31"/>
        <v>0</v>
      </c>
      <c r="AF29" s="24">
        <f t="shared" si="32"/>
        <v>0</v>
      </c>
      <c r="AG29" s="24">
        <f t="shared" si="33"/>
        <v>0</v>
      </c>
      <c r="AH29" s="24">
        <f t="shared" si="34"/>
        <v>0</v>
      </c>
      <c r="AI29" s="10" t="s">
        <v>43</v>
      </c>
      <c r="AJ29" s="24">
        <f t="shared" si="35"/>
        <v>0</v>
      </c>
      <c r="AK29" s="24">
        <f t="shared" si="36"/>
        <v>0</v>
      </c>
      <c r="AL29" s="24">
        <f t="shared" si="37"/>
        <v>0</v>
      </c>
      <c r="AN29" s="24">
        <v>21</v>
      </c>
      <c r="AO29" s="24">
        <f>G29*0.539885595</f>
        <v>0</v>
      </c>
      <c r="AP29" s="24">
        <f>G29*(1-0.539885595)</f>
        <v>0</v>
      </c>
      <c r="AQ29" s="26" t="s">
        <v>46</v>
      </c>
      <c r="AV29" s="24">
        <f t="shared" si="38"/>
        <v>0</v>
      </c>
      <c r="AW29" s="24">
        <f t="shared" si="39"/>
        <v>0</v>
      </c>
      <c r="AX29" s="24">
        <f t="shared" si="40"/>
        <v>0</v>
      </c>
      <c r="AY29" s="26" t="s">
        <v>84</v>
      </c>
      <c r="AZ29" s="26" t="s">
        <v>78</v>
      </c>
      <c r="BA29" s="10" t="s">
        <v>52</v>
      </c>
      <c r="BC29" s="24">
        <f t="shared" si="41"/>
        <v>0</v>
      </c>
      <c r="BD29" s="24">
        <f t="shared" si="42"/>
        <v>0</v>
      </c>
      <c r="BE29" s="24">
        <v>0</v>
      </c>
      <c r="BF29" s="24">
        <f>26</f>
        <v>26</v>
      </c>
      <c r="BH29" s="24">
        <f t="shared" si="43"/>
        <v>0</v>
      </c>
      <c r="BI29" s="24">
        <f t="shared" si="44"/>
        <v>0</v>
      </c>
      <c r="BJ29" s="24">
        <f t="shared" si="45"/>
        <v>0</v>
      </c>
      <c r="BK29" s="26" t="s">
        <v>53</v>
      </c>
      <c r="BL29" s="24">
        <v>34</v>
      </c>
      <c r="BW29" s="24">
        <v>21</v>
      </c>
      <c r="BX29" s="4" t="s">
        <v>96</v>
      </c>
    </row>
    <row r="30" spans="1:76" ht="14.4" x14ac:dyDescent="0.3">
      <c r="A30" s="2" t="s">
        <v>97</v>
      </c>
      <c r="B30" s="3" t="s">
        <v>98</v>
      </c>
      <c r="C30" s="82" t="s">
        <v>99</v>
      </c>
      <c r="D30" s="81"/>
      <c r="E30" s="3" t="s">
        <v>76</v>
      </c>
      <c r="F30" s="24">
        <v>12</v>
      </c>
      <c r="G30" s="180">
        <v>0</v>
      </c>
      <c r="H30" s="24">
        <f t="shared" si="24"/>
        <v>0</v>
      </c>
      <c r="I30" s="24">
        <f t="shared" si="25"/>
        <v>0</v>
      </c>
      <c r="J30" s="24">
        <f t="shared" si="26"/>
        <v>0</v>
      </c>
      <c r="K30" s="25"/>
      <c r="Z30" s="24">
        <f t="shared" si="27"/>
        <v>0</v>
      </c>
      <c r="AB30" s="24">
        <f t="shared" si="28"/>
        <v>0</v>
      </c>
      <c r="AC30" s="24">
        <f t="shared" si="29"/>
        <v>0</v>
      </c>
      <c r="AD30" s="24">
        <f t="shared" si="30"/>
        <v>0</v>
      </c>
      <c r="AE30" s="24">
        <f t="shared" si="31"/>
        <v>0</v>
      </c>
      <c r="AF30" s="24">
        <f t="shared" si="32"/>
        <v>0</v>
      </c>
      <c r="AG30" s="24">
        <f t="shared" si="33"/>
        <v>0</v>
      </c>
      <c r="AH30" s="24">
        <f t="shared" si="34"/>
        <v>0</v>
      </c>
      <c r="AI30" s="10" t="s">
        <v>43</v>
      </c>
      <c r="AJ30" s="24">
        <f t="shared" si="35"/>
        <v>0</v>
      </c>
      <c r="AK30" s="24">
        <f t="shared" si="36"/>
        <v>0</v>
      </c>
      <c r="AL30" s="24">
        <f t="shared" si="37"/>
        <v>0</v>
      </c>
      <c r="AN30" s="24">
        <v>21</v>
      </c>
      <c r="AO30" s="24">
        <f>G30*0.010506198</f>
        <v>0</v>
      </c>
      <c r="AP30" s="24">
        <f>G30*(1-0.010506198)</f>
        <v>0</v>
      </c>
      <c r="AQ30" s="26" t="s">
        <v>46</v>
      </c>
      <c r="AV30" s="24">
        <f t="shared" si="38"/>
        <v>0</v>
      </c>
      <c r="AW30" s="24">
        <f t="shared" si="39"/>
        <v>0</v>
      </c>
      <c r="AX30" s="24">
        <f t="shared" si="40"/>
        <v>0</v>
      </c>
      <c r="AY30" s="26" t="s">
        <v>84</v>
      </c>
      <c r="AZ30" s="26" t="s">
        <v>78</v>
      </c>
      <c r="BA30" s="10" t="s">
        <v>52</v>
      </c>
      <c r="BC30" s="24">
        <f t="shared" si="41"/>
        <v>0</v>
      </c>
      <c r="BD30" s="24">
        <f t="shared" si="42"/>
        <v>0</v>
      </c>
      <c r="BE30" s="24">
        <v>0</v>
      </c>
      <c r="BF30" s="24">
        <f>27</f>
        <v>27</v>
      </c>
      <c r="BH30" s="24">
        <f t="shared" si="43"/>
        <v>0</v>
      </c>
      <c r="BI30" s="24">
        <f t="shared" si="44"/>
        <v>0</v>
      </c>
      <c r="BJ30" s="24">
        <f t="shared" si="45"/>
        <v>0</v>
      </c>
      <c r="BK30" s="26" t="s">
        <v>53</v>
      </c>
      <c r="BL30" s="24">
        <v>34</v>
      </c>
      <c r="BW30" s="24">
        <v>21</v>
      </c>
      <c r="BX30" s="4" t="s">
        <v>99</v>
      </c>
    </row>
    <row r="31" spans="1:76" ht="14.4" x14ac:dyDescent="0.3">
      <c r="A31" s="2" t="s">
        <v>100</v>
      </c>
      <c r="B31" s="3" t="s">
        <v>101</v>
      </c>
      <c r="C31" s="82" t="s">
        <v>102</v>
      </c>
      <c r="D31" s="81"/>
      <c r="E31" s="3" t="s">
        <v>76</v>
      </c>
      <c r="F31" s="24">
        <v>12</v>
      </c>
      <c r="G31" s="180">
        <v>0</v>
      </c>
      <c r="H31" s="24">
        <f t="shared" si="24"/>
        <v>0</v>
      </c>
      <c r="I31" s="24">
        <f t="shared" si="25"/>
        <v>0</v>
      </c>
      <c r="J31" s="24">
        <f t="shared" si="26"/>
        <v>0</v>
      </c>
      <c r="K31" s="25"/>
      <c r="Z31" s="24">
        <f t="shared" si="27"/>
        <v>0</v>
      </c>
      <c r="AB31" s="24">
        <f t="shared" si="28"/>
        <v>0</v>
      </c>
      <c r="AC31" s="24">
        <f t="shared" si="29"/>
        <v>0</v>
      </c>
      <c r="AD31" s="24">
        <f t="shared" si="30"/>
        <v>0</v>
      </c>
      <c r="AE31" s="24">
        <f t="shared" si="31"/>
        <v>0</v>
      </c>
      <c r="AF31" s="24">
        <f t="shared" si="32"/>
        <v>0</v>
      </c>
      <c r="AG31" s="24">
        <f t="shared" si="33"/>
        <v>0</v>
      </c>
      <c r="AH31" s="24">
        <f t="shared" si="34"/>
        <v>0</v>
      </c>
      <c r="AI31" s="10" t="s">
        <v>43</v>
      </c>
      <c r="AJ31" s="24">
        <f t="shared" si="35"/>
        <v>0</v>
      </c>
      <c r="AK31" s="24">
        <f t="shared" si="36"/>
        <v>0</v>
      </c>
      <c r="AL31" s="24">
        <f t="shared" si="37"/>
        <v>0</v>
      </c>
      <c r="AN31" s="24">
        <v>21</v>
      </c>
      <c r="AO31" s="24">
        <f>G31*1</f>
        <v>0</v>
      </c>
      <c r="AP31" s="24">
        <f>G31*(1-1)</f>
        <v>0</v>
      </c>
      <c r="AQ31" s="26" t="s">
        <v>46</v>
      </c>
      <c r="AV31" s="24">
        <f t="shared" si="38"/>
        <v>0</v>
      </c>
      <c r="AW31" s="24">
        <f t="shared" si="39"/>
        <v>0</v>
      </c>
      <c r="AX31" s="24">
        <f t="shared" si="40"/>
        <v>0</v>
      </c>
      <c r="AY31" s="26" t="s">
        <v>84</v>
      </c>
      <c r="AZ31" s="26" t="s">
        <v>78</v>
      </c>
      <c r="BA31" s="10" t="s">
        <v>52</v>
      </c>
      <c r="BC31" s="24">
        <f t="shared" si="41"/>
        <v>0</v>
      </c>
      <c r="BD31" s="24">
        <f t="shared" si="42"/>
        <v>0</v>
      </c>
      <c r="BE31" s="24">
        <v>0</v>
      </c>
      <c r="BF31" s="24">
        <f>28</f>
        <v>28</v>
      </c>
      <c r="BH31" s="24">
        <f t="shared" si="43"/>
        <v>0</v>
      </c>
      <c r="BI31" s="24">
        <f t="shared" si="44"/>
        <v>0</v>
      </c>
      <c r="BJ31" s="24">
        <f t="shared" si="45"/>
        <v>0</v>
      </c>
      <c r="BK31" s="26" t="s">
        <v>103</v>
      </c>
      <c r="BL31" s="24">
        <v>34</v>
      </c>
      <c r="BW31" s="24">
        <v>21</v>
      </c>
      <c r="BX31" s="4" t="s">
        <v>102</v>
      </c>
    </row>
    <row r="32" spans="1:76" ht="26.4" x14ac:dyDescent="0.3">
      <c r="A32" s="2" t="s">
        <v>104</v>
      </c>
      <c r="B32" s="3" t="s">
        <v>105</v>
      </c>
      <c r="C32" s="82" t="s">
        <v>106</v>
      </c>
      <c r="D32" s="81"/>
      <c r="E32" s="3" t="s">
        <v>76</v>
      </c>
      <c r="F32" s="24">
        <v>1</v>
      </c>
      <c r="G32" s="180">
        <v>0</v>
      </c>
      <c r="H32" s="24">
        <f t="shared" si="24"/>
        <v>0</v>
      </c>
      <c r="I32" s="24">
        <f t="shared" si="25"/>
        <v>0</v>
      </c>
      <c r="J32" s="24">
        <f t="shared" si="26"/>
        <v>0</v>
      </c>
      <c r="K32" s="25"/>
      <c r="Z32" s="24">
        <f t="shared" si="27"/>
        <v>0</v>
      </c>
      <c r="AB32" s="24">
        <f t="shared" si="28"/>
        <v>0</v>
      </c>
      <c r="AC32" s="24">
        <f t="shared" si="29"/>
        <v>0</v>
      </c>
      <c r="AD32" s="24">
        <f t="shared" si="30"/>
        <v>0</v>
      </c>
      <c r="AE32" s="24">
        <f t="shared" si="31"/>
        <v>0</v>
      </c>
      <c r="AF32" s="24">
        <f t="shared" si="32"/>
        <v>0</v>
      </c>
      <c r="AG32" s="24">
        <f t="shared" si="33"/>
        <v>0</v>
      </c>
      <c r="AH32" s="24">
        <f t="shared" si="34"/>
        <v>0</v>
      </c>
      <c r="AI32" s="10" t="s">
        <v>43</v>
      </c>
      <c r="AJ32" s="24">
        <f t="shared" si="35"/>
        <v>0</v>
      </c>
      <c r="AK32" s="24">
        <f t="shared" si="36"/>
        <v>0</v>
      </c>
      <c r="AL32" s="24">
        <f t="shared" si="37"/>
        <v>0</v>
      </c>
      <c r="AN32" s="24">
        <v>21</v>
      </c>
      <c r="AO32" s="24">
        <f>G32*0</f>
        <v>0</v>
      </c>
      <c r="AP32" s="24">
        <f>G32*(1-0)</f>
        <v>0</v>
      </c>
      <c r="AQ32" s="26" t="s">
        <v>46</v>
      </c>
      <c r="AV32" s="24">
        <f t="shared" si="38"/>
        <v>0</v>
      </c>
      <c r="AW32" s="24">
        <f t="shared" si="39"/>
        <v>0</v>
      </c>
      <c r="AX32" s="24">
        <f t="shared" si="40"/>
        <v>0</v>
      </c>
      <c r="AY32" s="26" t="s">
        <v>84</v>
      </c>
      <c r="AZ32" s="26" t="s">
        <v>78</v>
      </c>
      <c r="BA32" s="10" t="s">
        <v>52</v>
      </c>
      <c r="BC32" s="24">
        <f t="shared" si="41"/>
        <v>0</v>
      </c>
      <c r="BD32" s="24">
        <f t="shared" si="42"/>
        <v>0</v>
      </c>
      <c r="BE32" s="24">
        <v>0</v>
      </c>
      <c r="BF32" s="24">
        <f>29</f>
        <v>29</v>
      </c>
      <c r="BH32" s="24">
        <f t="shared" si="43"/>
        <v>0</v>
      </c>
      <c r="BI32" s="24">
        <f t="shared" si="44"/>
        <v>0</v>
      </c>
      <c r="BJ32" s="24">
        <f t="shared" si="45"/>
        <v>0</v>
      </c>
      <c r="BK32" s="26" t="s">
        <v>53</v>
      </c>
      <c r="BL32" s="24">
        <v>34</v>
      </c>
      <c r="BW32" s="24">
        <v>21</v>
      </c>
      <c r="BX32" s="4" t="s">
        <v>106</v>
      </c>
    </row>
    <row r="33" spans="1:76" ht="26.4" x14ac:dyDescent="0.3">
      <c r="A33" s="2" t="s">
        <v>107</v>
      </c>
      <c r="B33" s="3" t="s">
        <v>108</v>
      </c>
      <c r="C33" s="82" t="s">
        <v>109</v>
      </c>
      <c r="D33" s="81"/>
      <c r="E33" s="3" t="s">
        <v>76</v>
      </c>
      <c r="F33" s="24">
        <v>1</v>
      </c>
      <c r="G33" s="180">
        <v>0</v>
      </c>
      <c r="H33" s="24">
        <f t="shared" si="24"/>
        <v>0</v>
      </c>
      <c r="I33" s="24">
        <f t="shared" si="25"/>
        <v>0</v>
      </c>
      <c r="J33" s="24">
        <f t="shared" si="26"/>
        <v>0</v>
      </c>
      <c r="K33" s="25"/>
      <c r="Z33" s="24">
        <f t="shared" si="27"/>
        <v>0</v>
      </c>
      <c r="AB33" s="24">
        <f t="shared" si="28"/>
        <v>0</v>
      </c>
      <c r="AC33" s="24">
        <f t="shared" si="29"/>
        <v>0</v>
      </c>
      <c r="AD33" s="24">
        <f t="shared" si="30"/>
        <v>0</v>
      </c>
      <c r="AE33" s="24">
        <f t="shared" si="31"/>
        <v>0</v>
      </c>
      <c r="AF33" s="24">
        <f t="shared" si="32"/>
        <v>0</v>
      </c>
      <c r="AG33" s="24">
        <f t="shared" si="33"/>
        <v>0</v>
      </c>
      <c r="AH33" s="24">
        <f t="shared" si="34"/>
        <v>0</v>
      </c>
      <c r="AI33" s="10" t="s">
        <v>43</v>
      </c>
      <c r="AJ33" s="24">
        <f t="shared" si="35"/>
        <v>0</v>
      </c>
      <c r="AK33" s="24">
        <f t="shared" si="36"/>
        <v>0</v>
      </c>
      <c r="AL33" s="24">
        <f t="shared" si="37"/>
        <v>0</v>
      </c>
      <c r="AN33" s="24">
        <v>21</v>
      </c>
      <c r="AO33" s="24">
        <f>G33*1</f>
        <v>0</v>
      </c>
      <c r="AP33" s="24">
        <f>G33*(1-1)</f>
        <v>0</v>
      </c>
      <c r="AQ33" s="26" t="s">
        <v>46</v>
      </c>
      <c r="AV33" s="24">
        <f t="shared" si="38"/>
        <v>0</v>
      </c>
      <c r="AW33" s="24">
        <f t="shared" si="39"/>
        <v>0</v>
      </c>
      <c r="AX33" s="24">
        <f t="shared" si="40"/>
        <v>0</v>
      </c>
      <c r="AY33" s="26" t="s">
        <v>84</v>
      </c>
      <c r="AZ33" s="26" t="s">
        <v>78</v>
      </c>
      <c r="BA33" s="10" t="s">
        <v>52</v>
      </c>
      <c r="BC33" s="24">
        <f t="shared" si="41"/>
        <v>0</v>
      </c>
      <c r="BD33" s="24">
        <f t="shared" si="42"/>
        <v>0</v>
      </c>
      <c r="BE33" s="24">
        <v>0</v>
      </c>
      <c r="BF33" s="24">
        <f>30</f>
        <v>30</v>
      </c>
      <c r="BH33" s="24">
        <f t="shared" si="43"/>
        <v>0</v>
      </c>
      <c r="BI33" s="24">
        <f t="shared" si="44"/>
        <v>0</v>
      </c>
      <c r="BJ33" s="24">
        <f t="shared" si="45"/>
        <v>0</v>
      </c>
      <c r="BK33" s="26" t="s">
        <v>103</v>
      </c>
      <c r="BL33" s="24">
        <v>34</v>
      </c>
      <c r="BW33" s="24">
        <v>21</v>
      </c>
      <c r="BX33" s="4" t="s">
        <v>109</v>
      </c>
    </row>
    <row r="34" spans="1:76" ht="14.4" x14ac:dyDescent="0.3">
      <c r="A34" s="2" t="s">
        <v>110</v>
      </c>
      <c r="B34" s="3" t="s">
        <v>111</v>
      </c>
      <c r="C34" s="82" t="s">
        <v>112</v>
      </c>
      <c r="D34" s="81"/>
      <c r="E34" s="3" t="s">
        <v>76</v>
      </c>
      <c r="F34" s="24">
        <v>1</v>
      </c>
      <c r="G34" s="180">
        <v>0</v>
      </c>
      <c r="H34" s="24">
        <f t="shared" si="24"/>
        <v>0</v>
      </c>
      <c r="I34" s="24">
        <f t="shared" si="25"/>
        <v>0</v>
      </c>
      <c r="J34" s="24">
        <f t="shared" si="26"/>
        <v>0</v>
      </c>
      <c r="K34" s="25"/>
      <c r="Z34" s="24">
        <f t="shared" si="27"/>
        <v>0</v>
      </c>
      <c r="AB34" s="24">
        <f t="shared" si="28"/>
        <v>0</v>
      </c>
      <c r="AC34" s="24">
        <f t="shared" si="29"/>
        <v>0</v>
      </c>
      <c r="AD34" s="24">
        <f t="shared" si="30"/>
        <v>0</v>
      </c>
      <c r="AE34" s="24">
        <f t="shared" si="31"/>
        <v>0</v>
      </c>
      <c r="AF34" s="24">
        <f t="shared" si="32"/>
        <v>0</v>
      </c>
      <c r="AG34" s="24">
        <f t="shared" si="33"/>
        <v>0</v>
      </c>
      <c r="AH34" s="24">
        <f t="shared" si="34"/>
        <v>0</v>
      </c>
      <c r="AI34" s="10" t="s">
        <v>43</v>
      </c>
      <c r="AJ34" s="24">
        <f t="shared" si="35"/>
        <v>0</v>
      </c>
      <c r="AK34" s="24">
        <f t="shared" si="36"/>
        <v>0</v>
      </c>
      <c r="AL34" s="24">
        <f t="shared" si="37"/>
        <v>0</v>
      </c>
      <c r="AN34" s="24">
        <v>21</v>
      </c>
      <c r="AO34" s="24">
        <f>G34*0</f>
        <v>0</v>
      </c>
      <c r="AP34" s="24">
        <f>G34*(1-0)</f>
        <v>0</v>
      </c>
      <c r="AQ34" s="26" t="s">
        <v>46</v>
      </c>
      <c r="AV34" s="24">
        <f t="shared" si="38"/>
        <v>0</v>
      </c>
      <c r="AW34" s="24">
        <f t="shared" si="39"/>
        <v>0</v>
      </c>
      <c r="AX34" s="24">
        <f t="shared" si="40"/>
        <v>0</v>
      </c>
      <c r="AY34" s="26" t="s">
        <v>84</v>
      </c>
      <c r="AZ34" s="26" t="s">
        <v>78</v>
      </c>
      <c r="BA34" s="10" t="s">
        <v>52</v>
      </c>
      <c r="BC34" s="24">
        <f t="shared" si="41"/>
        <v>0</v>
      </c>
      <c r="BD34" s="24">
        <f t="shared" si="42"/>
        <v>0</v>
      </c>
      <c r="BE34" s="24">
        <v>0</v>
      </c>
      <c r="BF34" s="24">
        <f>31</f>
        <v>31</v>
      </c>
      <c r="BH34" s="24">
        <f t="shared" si="43"/>
        <v>0</v>
      </c>
      <c r="BI34" s="24">
        <f t="shared" si="44"/>
        <v>0</v>
      </c>
      <c r="BJ34" s="24">
        <f t="shared" si="45"/>
        <v>0</v>
      </c>
      <c r="BK34" s="26" t="s">
        <v>53</v>
      </c>
      <c r="BL34" s="24">
        <v>34</v>
      </c>
      <c r="BW34" s="24">
        <v>21</v>
      </c>
      <c r="BX34" s="4" t="s">
        <v>112</v>
      </c>
    </row>
    <row r="35" spans="1:76" ht="26.4" x14ac:dyDescent="0.3">
      <c r="A35" s="2" t="s">
        <v>113</v>
      </c>
      <c r="B35" s="3" t="s">
        <v>114</v>
      </c>
      <c r="C35" s="82" t="s">
        <v>115</v>
      </c>
      <c r="D35" s="81"/>
      <c r="E35" s="3" t="s">
        <v>76</v>
      </c>
      <c r="F35" s="24">
        <v>1</v>
      </c>
      <c r="G35" s="180">
        <v>0</v>
      </c>
      <c r="H35" s="24">
        <f t="shared" si="24"/>
        <v>0</v>
      </c>
      <c r="I35" s="24">
        <f t="shared" si="25"/>
        <v>0</v>
      </c>
      <c r="J35" s="24">
        <f t="shared" si="26"/>
        <v>0</v>
      </c>
      <c r="K35" s="25"/>
      <c r="Z35" s="24">
        <f t="shared" si="27"/>
        <v>0</v>
      </c>
      <c r="AB35" s="24">
        <f t="shared" si="28"/>
        <v>0</v>
      </c>
      <c r="AC35" s="24">
        <f t="shared" si="29"/>
        <v>0</v>
      </c>
      <c r="AD35" s="24">
        <f t="shared" si="30"/>
        <v>0</v>
      </c>
      <c r="AE35" s="24">
        <f t="shared" si="31"/>
        <v>0</v>
      </c>
      <c r="AF35" s="24">
        <f t="shared" si="32"/>
        <v>0</v>
      </c>
      <c r="AG35" s="24">
        <f t="shared" si="33"/>
        <v>0</v>
      </c>
      <c r="AH35" s="24">
        <f t="shared" si="34"/>
        <v>0</v>
      </c>
      <c r="AI35" s="10" t="s">
        <v>43</v>
      </c>
      <c r="AJ35" s="24">
        <f t="shared" si="35"/>
        <v>0</v>
      </c>
      <c r="AK35" s="24">
        <f t="shared" si="36"/>
        <v>0</v>
      </c>
      <c r="AL35" s="24">
        <f t="shared" si="37"/>
        <v>0</v>
      </c>
      <c r="AN35" s="24">
        <v>21</v>
      </c>
      <c r="AO35" s="24">
        <f>G35*1</f>
        <v>0</v>
      </c>
      <c r="AP35" s="24">
        <f>G35*(1-1)</f>
        <v>0</v>
      </c>
      <c r="AQ35" s="26" t="s">
        <v>46</v>
      </c>
      <c r="AV35" s="24">
        <f t="shared" si="38"/>
        <v>0</v>
      </c>
      <c r="AW35" s="24">
        <f t="shared" si="39"/>
        <v>0</v>
      </c>
      <c r="AX35" s="24">
        <f t="shared" si="40"/>
        <v>0</v>
      </c>
      <c r="AY35" s="26" t="s">
        <v>84</v>
      </c>
      <c r="AZ35" s="26" t="s">
        <v>78</v>
      </c>
      <c r="BA35" s="10" t="s">
        <v>52</v>
      </c>
      <c r="BC35" s="24">
        <f t="shared" si="41"/>
        <v>0</v>
      </c>
      <c r="BD35" s="24">
        <f t="shared" si="42"/>
        <v>0</v>
      </c>
      <c r="BE35" s="24">
        <v>0</v>
      </c>
      <c r="BF35" s="24">
        <f>32</f>
        <v>32</v>
      </c>
      <c r="BH35" s="24">
        <f t="shared" si="43"/>
        <v>0</v>
      </c>
      <c r="BI35" s="24">
        <f t="shared" si="44"/>
        <v>0</v>
      </c>
      <c r="BJ35" s="24">
        <f t="shared" si="45"/>
        <v>0</v>
      </c>
      <c r="BK35" s="26" t="s">
        <v>103</v>
      </c>
      <c r="BL35" s="24">
        <v>34</v>
      </c>
      <c r="BW35" s="24">
        <v>21</v>
      </c>
      <c r="BX35" s="4" t="s">
        <v>115</v>
      </c>
    </row>
    <row r="36" spans="1:76" ht="14.4" x14ac:dyDescent="0.3">
      <c r="A36" s="27" t="s">
        <v>43</v>
      </c>
      <c r="B36" s="28" t="s">
        <v>116</v>
      </c>
      <c r="C36" s="98" t="s">
        <v>117</v>
      </c>
      <c r="D36" s="99"/>
      <c r="E36" s="29" t="s">
        <v>3</v>
      </c>
      <c r="F36" s="29" t="s">
        <v>3</v>
      </c>
      <c r="G36" s="29" t="s">
        <v>3</v>
      </c>
      <c r="H36" s="1">
        <f>ROUND(SUM(H37:H37),2)</f>
        <v>0</v>
      </c>
      <c r="I36" s="1">
        <f>ROUND(SUM(I37:I37),2)</f>
        <v>0</v>
      </c>
      <c r="J36" s="1">
        <f>ROUND(SUM(J37:J37),2)</f>
        <v>0</v>
      </c>
      <c r="K36" s="30"/>
      <c r="AI36" s="10" t="s">
        <v>43</v>
      </c>
      <c r="AS36" s="1">
        <f>SUM(AJ37:AJ37)</f>
        <v>0</v>
      </c>
      <c r="AT36" s="1">
        <f>SUM(AK37:AK37)</f>
        <v>0</v>
      </c>
      <c r="AU36" s="1">
        <f>SUM(AL37:AL37)</f>
        <v>0</v>
      </c>
    </row>
    <row r="37" spans="1:76" ht="14.4" x14ac:dyDescent="0.3">
      <c r="A37" s="2" t="s">
        <v>118</v>
      </c>
      <c r="B37" s="3" t="s">
        <v>119</v>
      </c>
      <c r="C37" s="82" t="s">
        <v>120</v>
      </c>
      <c r="D37" s="81"/>
      <c r="E37" s="3" t="s">
        <v>76</v>
      </c>
      <c r="F37" s="24">
        <v>15</v>
      </c>
      <c r="G37" s="180">
        <v>0</v>
      </c>
      <c r="H37" s="24">
        <f>ROUND(F37*AO37,2)</f>
        <v>0</v>
      </c>
      <c r="I37" s="24">
        <f>ROUND(F37*AP37,2)</f>
        <v>0</v>
      </c>
      <c r="J37" s="24">
        <f>ROUND(F37*G37,2)</f>
        <v>0</v>
      </c>
      <c r="K37" s="25"/>
      <c r="Z37" s="24">
        <f>ROUND(IF(AQ37="5",BJ37,0),2)</f>
        <v>0</v>
      </c>
      <c r="AB37" s="24">
        <f>ROUND(IF(AQ37="1",BH37,0),2)</f>
        <v>0</v>
      </c>
      <c r="AC37" s="24">
        <f>ROUND(IF(AQ37="1",BI37,0),2)</f>
        <v>0</v>
      </c>
      <c r="AD37" s="24">
        <f>ROUND(IF(AQ37="7",BH37,0),2)</f>
        <v>0</v>
      </c>
      <c r="AE37" s="24">
        <f>ROUND(IF(AQ37="7",BI37,0),2)</f>
        <v>0</v>
      </c>
      <c r="AF37" s="24">
        <f>ROUND(IF(AQ37="2",BH37,0),2)</f>
        <v>0</v>
      </c>
      <c r="AG37" s="24">
        <f>ROUND(IF(AQ37="2",BI37,0),2)</f>
        <v>0</v>
      </c>
      <c r="AH37" s="24">
        <f>ROUND(IF(AQ37="0",BJ37,0),2)</f>
        <v>0</v>
      </c>
      <c r="AI37" s="10" t="s">
        <v>43</v>
      </c>
      <c r="AJ37" s="24">
        <f>IF(AN37=0,J37,0)</f>
        <v>0</v>
      </c>
      <c r="AK37" s="24">
        <f>IF(AN37=12,J37,0)</f>
        <v>0</v>
      </c>
      <c r="AL37" s="24">
        <f>IF(AN37=21,J37,0)</f>
        <v>0</v>
      </c>
      <c r="AN37" s="24">
        <v>21</v>
      </c>
      <c r="AO37" s="24">
        <f>G37*0.23427734</f>
        <v>0</v>
      </c>
      <c r="AP37" s="24">
        <f>G37*(1-0.23427734)</f>
        <v>0</v>
      </c>
      <c r="AQ37" s="26" t="s">
        <v>46</v>
      </c>
      <c r="AV37" s="24">
        <f>ROUND(AW37+AX37,2)</f>
        <v>0</v>
      </c>
      <c r="AW37" s="24">
        <f>ROUND(F37*AO37,2)</f>
        <v>0</v>
      </c>
      <c r="AX37" s="24">
        <f>ROUND(F37*AP37,2)</f>
        <v>0</v>
      </c>
      <c r="AY37" s="26" t="s">
        <v>121</v>
      </c>
      <c r="AZ37" s="26" t="s">
        <v>122</v>
      </c>
      <c r="BA37" s="10" t="s">
        <v>52</v>
      </c>
      <c r="BC37" s="24">
        <f>AW37+AX37</f>
        <v>0</v>
      </c>
      <c r="BD37" s="24">
        <f>G37/(100-BE37)*100</f>
        <v>0</v>
      </c>
      <c r="BE37" s="24">
        <v>0</v>
      </c>
      <c r="BF37" s="24">
        <f>34</f>
        <v>34</v>
      </c>
      <c r="BH37" s="24">
        <f>F37*AO37</f>
        <v>0</v>
      </c>
      <c r="BI37" s="24">
        <f>F37*AP37</f>
        <v>0</v>
      </c>
      <c r="BJ37" s="24">
        <f>F37*G37</f>
        <v>0</v>
      </c>
      <c r="BK37" s="26" t="s">
        <v>53</v>
      </c>
      <c r="BL37" s="24">
        <v>41</v>
      </c>
      <c r="BW37" s="24">
        <v>21</v>
      </c>
      <c r="BX37" s="4" t="s">
        <v>120</v>
      </c>
    </row>
    <row r="38" spans="1:76" ht="14.4" x14ac:dyDescent="0.3">
      <c r="A38" s="27" t="s">
        <v>43</v>
      </c>
      <c r="B38" s="28" t="s">
        <v>123</v>
      </c>
      <c r="C38" s="98" t="s">
        <v>124</v>
      </c>
      <c r="D38" s="99"/>
      <c r="E38" s="29" t="s">
        <v>3</v>
      </c>
      <c r="F38" s="29" t="s">
        <v>3</v>
      </c>
      <c r="G38" s="29" t="s">
        <v>3</v>
      </c>
      <c r="H38" s="1">
        <f>ROUND(SUM(H39:H41),2)</f>
        <v>0</v>
      </c>
      <c r="I38" s="1">
        <f>ROUND(SUM(I39:I41),2)</f>
        <v>0</v>
      </c>
      <c r="J38" s="1">
        <f>ROUND(SUM(J39:J41),2)</f>
        <v>0</v>
      </c>
      <c r="K38" s="30"/>
      <c r="AI38" s="10" t="s">
        <v>43</v>
      </c>
      <c r="AS38" s="1">
        <f>SUM(AJ39:AJ41)</f>
        <v>0</v>
      </c>
      <c r="AT38" s="1">
        <f>SUM(AK39:AK41)</f>
        <v>0</v>
      </c>
      <c r="AU38" s="1">
        <f>SUM(AL39:AL41)</f>
        <v>0</v>
      </c>
    </row>
    <row r="39" spans="1:76" ht="14.4" x14ac:dyDescent="0.3">
      <c r="A39" s="2" t="s">
        <v>125</v>
      </c>
      <c r="B39" s="3" t="s">
        <v>126</v>
      </c>
      <c r="C39" s="82" t="s">
        <v>127</v>
      </c>
      <c r="D39" s="81"/>
      <c r="E39" s="3" t="s">
        <v>49</v>
      </c>
      <c r="F39" s="24">
        <v>34.54</v>
      </c>
      <c r="G39" s="180">
        <v>0</v>
      </c>
      <c r="H39" s="24">
        <f>ROUND(F39*AO39,2)</f>
        <v>0</v>
      </c>
      <c r="I39" s="24">
        <f>ROUND(F39*AP39,2)</f>
        <v>0</v>
      </c>
      <c r="J39" s="24">
        <f>ROUND(F39*G39,2)</f>
        <v>0</v>
      </c>
      <c r="K39" s="25"/>
      <c r="Z39" s="24">
        <f>ROUND(IF(AQ39="5",BJ39,0),2)</f>
        <v>0</v>
      </c>
      <c r="AB39" s="24">
        <f>ROUND(IF(AQ39="1",BH39,0),2)</f>
        <v>0</v>
      </c>
      <c r="AC39" s="24">
        <f>ROUND(IF(AQ39="1",BI39,0),2)</f>
        <v>0</v>
      </c>
      <c r="AD39" s="24">
        <f>ROUND(IF(AQ39="7",BH39,0),2)</f>
        <v>0</v>
      </c>
      <c r="AE39" s="24">
        <f>ROUND(IF(AQ39="7",BI39,0),2)</f>
        <v>0</v>
      </c>
      <c r="AF39" s="24">
        <f>ROUND(IF(AQ39="2",BH39,0),2)</f>
        <v>0</v>
      </c>
      <c r="AG39" s="24">
        <f>ROUND(IF(AQ39="2",BI39,0),2)</f>
        <v>0</v>
      </c>
      <c r="AH39" s="24">
        <f>ROUND(IF(AQ39="0",BJ39,0),2)</f>
        <v>0</v>
      </c>
      <c r="AI39" s="10" t="s">
        <v>43</v>
      </c>
      <c r="AJ39" s="24">
        <f>IF(AN39=0,J39,0)</f>
        <v>0</v>
      </c>
      <c r="AK39" s="24">
        <f>IF(AN39=12,J39,0)</f>
        <v>0</v>
      </c>
      <c r="AL39" s="24">
        <f>IF(AN39=21,J39,0)</f>
        <v>0</v>
      </c>
      <c r="AN39" s="24">
        <v>21</v>
      </c>
      <c r="AO39" s="24">
        <f>G39*0.282054972</f>
        <v>0</v>
      </c>
      <c r="AP39" s="24">
        <f>G39*(1-0.282054972)</f>
        <v>0</v>
      </c>
      <c r="AQ39" s="26" t="s">
        <v>46</v>
      </c>
      <c r="AV39" s="24">
        <f>ROUND(AW39+AX39,2)</f>
        <v>0</v>
      </c>
      <c r="AW39" s="24">
        <f>ROUND(F39*AO39,2)</f>
        <v>0</v>
      </c>
      <c r="AX39" s="24">
        <f>ROUND(F39*AP39,2)</f>
        <v>0</v>
      </c>
      <c r="AY39" s="26" t="s">
        <v>128</v>
      </c>
      <c r="AZ39" s="26" t="s">
        <v>129</v>
      </c>
      <c r="BA39" s="10" t="s">
        <v>52</v>
      </c>
      <c r="BC39" s="24">
        <f>AW39+AX39</f>
        <v>0</v>
      </c>
      <c r="BD39" s="24">
        <f>G39/(100-BE39)*100</f>
        <v>0</v>
      </c>
      <c r="BE39" s="24">
        <v>0</v>
      </c>
      <c r="BF39" s="24">
        <f>36</f>
        <v>36</v>
      </c>
      <c r="BH39" s="24">
        <f>F39*AO39</f>
        <v>0</v>
      </c>
      <c r="BI39" s="24">
        <f>F39*AP39</f>
        <v>0</v>
      </c>
      <c r="BJ39" s="24">
        <f>F39*G39</f>
        <v>0</v>
      </c>
      <c r="BK39" s="26" t="s">
        <v>53</v>
      </c>
      <c r="BL39" s="24">
        <v>61</v>
      </c>
      <c r="BW39" s="24">
        <v>21</v>
      </c>
      <c r="BX39" s="4" t="s">
        <v>127</v>
      </c>
    </row>
    <row r="40" spans="1:76" ht="14.4" x14ac:dyDescent="0.3">
      <c r="A40" s="2" t="s">
        <v>130</v>
      </c>
      <c r="B40" s="3" t="s">
        <v>131</v>
      </c>
      <c r="C40" s="82" t="s">
        <v>132</v>
      </c>
      <c r="D40" s="81"/>
      <c r="E40" s="3" t="s">
        <v>49</v>
      </c>
      <c r="F40" s="24">
        <v>8.5</v>
      </c>
      <c r="G40" s="180">
        <v>0</v>
      </c>
      <c r="H40" s="24">
        <f>ROUND(F40*AO40,2)</f>
        <v>0</v>
      </c>
      <c r="I40" s="24">
        <f>ROUND(F40*AP40,2)</f>
        <v>0</v>
      </c>
      <c r="J40" s="24">
        <f>ROUND(F40*G40,2)</f>
        <v>0</v>
      </c>
      <c r="K40" s="25"/>
      <c r="Z40" s="24">
        <f>ROUND(IF(AQ40="5",BJ40,0),2)</f>
        <v>0</v>
      </c>
      <c r="AB40" s="24">
        <f>ROUND(IF(AQ40="1",BH40,0),2)</f>
        <v>0</v>
      </c>
      <c r="AC40" s="24">
        <f>ROUND(IF(AQ40="1",BI40,0),2)</f>
        <v>0</v>
      </c>
      <c r="AD40" s="24">
        <f>ROUND(IF(AQ40="7",BH40,0),2)</f>
        <v>0</v>
      </c>
      <c r="AE40" s="24">
        <f>ROUND(IF(AQ40="7",BI40,0),2)</f>
        <v>0</v>
      </c>
      <c r="AF40" s="24">
        <f>ROUND(IF(AQ40="2",BH40,0),2)</f>
        <v>0</v>
      </c>
      <c r="AG40" s="24">
        <f>ROUND(IF(AQ40="2",BI40,0),2)</f>
        <v>0</v>
      </c>
      <c r="AH40" s="24">
        <f>ROUND(IF(AQ40="0",BJ40,0),2)</f>
        <v>0</v>
      </c>
      <c r="AI40" s="10" t="s">
        <v>43</v>
      </c>
      <c r="AJ40" s="24">
        <f>IF(AN40=0,J40,0)</f>
        <v>0</v>
      </c>
      <c r="AK40" s="24">
        <f>IF(AN40=12,J40,0)</f>
        <v>0</v>
      </c>
      <c r="AL40" s="24">
        <f>IF(AN40=21,J40,0)</f>
        <v>0</v>
      </c>
      <c r="AN40" s="24">
        <v>21</v>
      </c>
      <c r="AO40" s="24">
        <f>G40*0.129418621</f>
        <v>0</v>
      </c>
      <c r="AP40" s="24">
        <f>G40*(1-0.129418621)</f>
        <v>0</v>
      </c>
      <c r="AQ40" s="26" t="s">
        <v>46</v>
      </c>
      <c r="AV40" s="24">
        <f>ROUND(AW40+AX40,2)</f>
        <v>0</v>
      </c>
      <c r="AW40" s="24">
        <f>ROUND(F40*AO40,2)</f>
        <v>0</v>
      </c>
      <c r="AX40" s="24">
        <f>ROUND(F40*AP40,2)</f>
        <v>0</v>
      </c>
      <c r="AY40" s="26" t="s">
        <v>128</v>
      </c>
      <c r="AZ40" s="26" t="s">
        <v>129</v>
      </c>
      <c r="BA40" s="10" t="s">
        <v>52</v>
      </c>
      <c r="BC40" s="24">
        <f>AW40+AX40</f>
        <v>0</v>
      </c>
      <c r="BD40" s="24">
        <f>G40/(100-BE40)*100</f>
        <v>0</v>
      </c>
      <c r="BE40" s="24">
        <v>0</v>
      </c>
      <c r="BF40" s="24">
        <f>37</f>
        <v>37</v>
      </c>
      <c r="BH40" s="24">
        <f>F40*AO40</f>
        <v>0</v>
      </c>
      <c r="BI40" s="24">
        <f>F40*AP40</f>
        <v>0</v>
      </c>
      <c r="BJ40" s="24">
        <f>F40*G40</f>
        <v>0</v>
      </c>
      <c r="BK40" s="26" t="s">
        <v>53</v>
      </c>
      <c r="BL40" s="24">
        <v>61</v>
      </c>
      <c r="BW40" s="24">
        <v>21</v>
      </c>
      <c r="BX40" s="4" t="s">
        <v>132</v>
      </c>
    </row>
    <row r="41" spans="1:76" ht="14.4" x14ac:dyDescent="0.3">
      <c r="A41" s="2" t="s">
        <v>133</v>
      </c>
      <c r="B41" s="3" t="s">
        <v>134</v>
      </c>
      <c r="C41" s="82" t="s">
        <v>135</v>
      </c>
      <c r="D41" s="81"/>
      <c r="E41" s="3" t="s">
        <v>49</v>
      </c>
      <c r="F41" s="24">
        <v>28.215</v>
      </c>
      <c r="G41" s="180">
        <v>0</v>
      </c>
      <c r="H41" s="24">
        <f>ROUND(F41*AO41,2)</f>
        <v>0</v>
      </c>
      <c r="I41" s="24">
        <f>ROUND(F41*AP41,2)</f>
        <v>0</v>
      </c>
      <c r="J41" s="24">
        <f>ROUND(F41*G41,2)</f>
        <v>0</v>
      </c>
      <c r="K41" s="25"/>
      <c r="Z41" s="24">
        <f>ROUND(IF(AQ41="5",BJ41,0),2)</f>
        <v>0</v>
      </c>
      <c r="AB41" s="24">
        <f>ROUND(IF(AQ41="1",BH41,0),2)</f>
        <v>0</v>
      </c>
      <c r="AC41" s="24">
        <f>ROUND(IF(AQ41="1",BI41,0),2)</f>
        <v>0</v>
      </c>
      <c r="AD41" s="24">
        <f>ROUND(IF(AQ41="7",BH41,0),2)</f>
        <v>0</v>
      </c>
      <c r="AE41" s="24">
        <f>ROUND(IF(AQ41="7",BI41,0),2)</f>
        <v>0</v>
      </c>
      <c r="AF41" s="24">
        <f>ROUND(IF(AQ41="2",BH41,0),2)</f>
        <v>0</v>
      </c>
      <c r="AG41" s="24">
        <f>ROUND(IF(AQ41="2",BI41,0),2)</f>
        <v>0</v>
      </c>
      <c r="AH41" s="24">
        <f>ROUND(IF(AQ41="0",BJ41,0),2)</f>
        <v>0</v>
      </c>
      <c r="AI41" s="10" t="s">
        <v>43</v>
      </c>
      <c r="AJ41" s="24">
        <f>IF(AN41=0,J41,0)</f>
        <v>0</v>
      </c>
      <c r="AK41" s="24">
        <f>IF(AN41=12,J41,0)</f>
        <v>0</v>
      </c>
      <c r="AL41" s="24">
        <f>IF(AN41=21,J41,0)</f>
        <v>0</v>
      </c>
      <c r="AN41" s="24">
        <v>21</v>
      </c>
      <c r="AO41" s="24">
        <f>G41*0.10249632</f>
        <v>0</v>
      </c>
      <c r="AP41" s="24">
        <f>G41*(1-0.10249632)</f>
        <v>0</v>
      </c>
      <c r="AQ41" s="26" t="s">
        <v>46</v>
      </c>
      <c r="AV41" s="24">
        <f>ROUND(AW41+AX41,2)</f>
        <v>0</v>
      </c>
      <c r="AW41" s="24">
        <f>ROUND(F41*AO41,2)</f>
        <v>0</v>
      </c>
      <c r="AX41" s="24">
        <f>ROUND(F41*AP41,2)</f>
        <v>0</v>
      </c>
      <c r="AY41" s="26" t="s">
        <v>128</v>
      </c>
      <c r="AZ41" s="26" t="s">
        <v>129</v>
      </c>
      <c r="BA41" s="10" t="s">
        <v>52</v>
      </c>
      <c r="BC41" s="24">
        <f>AW41+AX41</f>
        <v>0</v>
      </c>
      <c r="BD41" s="24">
        <f>G41/(100-BE41)*100</f>
        <v>0</v>
      </c>
      <c r="BE41" s="24">
        <v>0</v>
      </c>
      <c r="BF41" s="24">
        <f>38</f>
        <v>38</v>
      </c>
      <c r="BH41" s="24">
        <f>F41*AO41</f>
        <v>0</v>
      </c>
      <c r="BI41" s="24">
        <f>F41*AP41</f>
        <v>0</v>
      </c>
      <c r="BJ41" s="24">
        <f>F41*G41</f>
        <v>0</v>
      </c>
      <c r="BK41" s="26" t="s">
        <v>53</v>
      </c>
      <c r="BL41" s="24">
        <v>61</v>
      </c>
      <c r="BW41" s="24">
        <v>21</v>
      </c>
      <c r="BX41" s="4" t="s">
        <v>135</v>
      </c>
    </row>
    <row r="42" spans="1:76" ht="14.4" x14ac:dyDescent="0.3">
      <c r="A42" s="27" t="s">
        <v>43</v>
      </c>
      <c r="B42" s="28" t="s">
        <v>136</v>
      </c>
      <c r="C42" s="98" t="s">
        <v>137</v>
      </c>
      <c r="D42" s="99"/>
      <c r="E42" s="29" t="s">
        <v>3</v>
      </c>
      <c r="F42" s="29" t="s">
        <v>3</v>
      </c>
      <c r="G42" s="29" t="s">
        <v>3</v>
      </c>
      <c r="H42" s="1">
        <f>ROUND(SUM(H43:H43),2)</f>
        <v>0</v>
      </c>
      <c r="I42" s="1">
        <f>ROUND(SUM(I43:I43),2)</f>
        <v>0</v>
      </c>
      <c r="J42" s="1">
        <f>ROUND(SUM(J43:J43),2)</f>
        <v>0</v>
      </c>
      <c r="K42" s="30"/>
      <c r="AI42" s="10" t="s">
        <v>43</v>
      </c>
      <c r="AS42" s="1">
        <f>SUM(AJ43:AJ43)</f>
        <v>0</v>
      </c>
      <c r="AT42" s="1">
        <f>SUM(AK43:AK43)</f>
        <v>0</v>
      </c>
      <c r="AU42" s="1">
        <f>SUM(AL43:AL43)</f>
        <v>0</v>
      </c>
    </row>
    <row r="43" spans="1:76" ht="14.4" x14ac:dyDescent="0.3">
      <c r="A43" s="2" t="s">
        <v>138</v>
      </c>
      <c r="B43" s="3" t="s">
        <v>139</v>
      </c>
      <c r="C43" s="82" t="s">
        <v>140</v>
      </c>
      <c r="D43" s="81"/>
      <c r="E43" s="3" t="s">
        <v>49</v>
      </c>
      <c r="F43" s="24">
        <v>0.9</v>
      </c>
      <c r="G43" s="180">
        <v>0</v>
      </c>
      <c r="H43" s="24">
        <f>ROUND(F43*AO43,2)</f>
        <v>0</v>
      </c>
      <c r="I43" s="24">
        <f>ROUND(F43*AP43,2)</f>
        <v>0</v>
      </c>
      <c r="J43" s="24">
        <f>ROUND(F43*G43,2)</f>
        <v>0</v>
      </c>
      <c r="K43" s="25"/>
      <c r="Z43" s="24">
        <f>ROUND(IF(AQ43="5",BJ43,0),2)</f>
        <v>0</v>
      </c>
      <c r="AB43" s="24">
        <f>ROUND(IF(AQ43="1",BH43,0),2)</f>
        <v>0</v>
      </c>
      <c r="AC43" s="24">
        <f>ROUND(IF(AQ43="1",BI43,0),2)</f>
        <v>0</v>
      </c>
      <c r="AD43" s="24">
        <f>ROUND(IF(AQ43="7",BH43,0),2)</f>
        <v>0</v>
      </c>
      <c r="AE43" s="24">
        <f>ROUND(IF(AQ43="7",BI43,0),2)</f>
        <v>0</v>
      </c>
      <c r="AF43" s="24">
        <f>ROUND(IF(AQ43="2",BH43,0),2)</f>
        <v>0</v>
      </c>
      <c r="AG43" s="24">
        <f>ROUND(IF(AQ43="2",BI43,0),2)</f>
        <v>0</v>
      </c>
      <c r="AH43" s="24">
        <f>ROUND(IF(AQ43="0",BJ43,0),2)</f>
        <v>0</v>
      </c>
      <c r="AI43" s="10" t="s">
        <v>43</v>
      </c>
      <c r="AJ43" s="24">
        <f>IF(AN43=0,J43,0)</f>
        <v>0</v>
      </c>
      <c r="AK43" s="24">
        <f>IF(AN43=12,J43,0)</f>
        <v>0</v>
      </c>
      <c r="AL43" s="24">
        <f>IF(AN43=21,J43,0)</f>
        <v>0</v>
      </c>
      <c r="AN43" s="24">
        <v>21</v>
      </c>
      <c r="AO43" s="24">
        <f>G43*0.054261792</f>
        <v>0</v>
      </c>
      <c r="AP43" s="24">
        <f>G43*(1-0.054261792)</f>
        <v>0</v>
      </c>
      <c r="AQ43" s="26" t="s">
        <v>46</v>
      </c>
      <c r="AV43" s="24">
        <f>ROUND(AW43+AX43,2)</f>
        <v>0</v>
      </c>
      <c r="AW43" s="24">
        <f>ROUND(F43*AO43,2)</f>
        <v>0</v>
      </c>
      <c r="AX43" s="24">
        <f>ROUND(F43*AP43,2)</f>
        <v>0</v>
      </c>
      <c r="AY43" s="26" t="s">
        <v>141</v>
      </c>
      <c r="AZ43" s="26" t="s">
        <v>129</v>
      </c>
      <c r="BA43" s="10" t="s">
        <v>52</v>
      </c>
      <c r="BC43" s="24">
        <f>AW43+AX43</f>
        <v>0</v>
      </c>
      <c r="BD43" s="24">
        <f>G43/(100-BE43)*100</f>
        <v>0</v>
      </c>
      <c r="BE43" s="24">
        <v>0</v>
      </c>
      <c r="BF43" s="24">
        <f>40</f>
        <v>40</v>
      </c>
      <c r="BH43" s="24">
        <f>F43*AO43</f>
        <v>0</v>
      </c>
      <c r="BI43" s="24">
        <f>F43*AP43</f>
        <v>0</v>
      </c>
      <c r="BJ43" s="24">
        <f>F43*G43</f>
        <v>0</v>
      </c>
      <c r="BK43" s="26" t="s">
        <v>53</v>
      </c>
      <c r="BL43" s="24">
        <v>62</v>
      </c>
      <c r="BW43" s="24">
        <v>21</v>
      </c>
      <c r="BX43" s="4" t="s">
        <v>140</v>
      </c>
    </row>
    <row r="44" spans="1:76" ht="14.4" x14ac:dyDescent="0.3">
      <c r="A44" s="27" t="s">
        <v>43</v>
      </c>
      <c r="B44" s="28" t="s">
        <v>142</v>
      </c>
      <c r="C44" s="98" t="s">
        <v>143</v>
      </c>
      <c r="D44" s="99"/>
      <c r="E44" s="29" t="s">
        <v>3</v>
      </c>
      <c r="F44" s="29" t="s">
        <v>3</v>
      </c>
      <c r="G44" s="29" t="s">
        <v>3</v>
      </c>
      <c r="H44" s="1">
        <f>ROUND(SUM(H45:H52),2)</f>
        <v>0</v>
      </c>
      <c r="I44" s="1">
        <f>ROUND(SUM(I45:I52),2)</f>
        <v>0</v>
      </c>
      <c r="J44" s="1">
        <f>ROUND(SUM(J45:J52),2)</f>
        <v>0</v>
      </c>
      <c r="K44" s="30"/>
      <c r="AI44" s="10" t="s">
        <v>43</v>
      </c>
      <c r="AS44" s="1">
        <f>SUM(AJ45:AJ52)</f>
        <v>0</v>
      </c>
      <c r="AT44" s="1">
        <f>SUM(AK45:AK52)</f>
        <v>0</v>
      </c>
      <c r="AU44" s="1">
        <f>SUM(AL45:AL52)</f>
        <v>0</v>
      </c>
    </row>
    <row r="45" spans="1:76" ht="14.4" x14ac:dyDescent="0.3">
      <c r="A45" s="2" t="s">
        <v>144</v>
      </c>
      <c r="B45" s="3" t="s">
        <v>145</v>
      </c>
      <c r="C45" s="82" t="s">
        <v>146</v>
      </c>
      <c r="D45" s="81"/>
      <c r="E45" s="3" t="s">
        <v>147</v>
      </c>
      <c r="F45" s="24">
        <v>4.6829999999999998</v>
      </c>
      <c r="G45" s="180">
        <v>0</v>
      </c>
      <c r="H45" s="24">
        <f t="shared" ref="H45:H52" si="46">ROUND(F45*AO45,2)</f>
        <v>0</v>
      </c>
      <c r="I45" s="24">
        <f t="shared" ref="I45:I52" si="47">ROUND(F45*AP45,2)</f>
        <v>0</v>
      </c>
      <c r="J45" s="24">
        <f t="shared" ref="J45:J52" si="48">ROUND(F45*G45,2)</f>
        <v>0</v>
      </c>
      <c r="K45" s="25"/>
      <c r="Z45" s="24">
        <f t="shared" ref="Z45:Z52" si="49">ROUND(IF(AQ45="5",BJ45,0),2)</f>
        <v>0</v>
      </c>
      <c r="AB45" s="24">
        <f t="shared" ref="AB45:AB52" si="50">ROUND(IF(AQ45="1",BH45,0),2)</f>
        <v>0</v>
      </c>
      <c r="AC45" s="24">
        <f t="shared" ref="AC45:AC52" si="51">ROUND(IF(AQ45="1",BI45,0),2)</f>
        <v>0</v>
      </c>
      <c r="AD45" s="24">
        <f t="shared" ref="AD45:AD52" si="52">ROUND(IF(AQ45="7",BH45,0),2)</f>
        <v>0</v>
      </c>
      <c r="AE45" s="24">
        <f t="shared" ref="AE45:AE52" si="53">ROUND(IF(AQ45="7",BI45,0),2)</f>
        <v>0</v>
      </c>
      <c r="AF45" s="24">
        <f t="shared" ref="AF45:AF52" si="54">ROUND(IF(AQ45="2",BH45,0),2)</f>
        <v>0</v>
      </c>
      <c r="AG45" s="24">
        <f t="shared" ref="AG45:AG52" si="55">ROUND(IF(AQ45="2",BI45,0),2)</f>
        <v>0</v>
      </c>
      <c r="AH45" s="24">
        <f t="shared" ref="AH45:AH52" si="56">ROUND(IF(AQ45="0",BJ45,0),2)</f>
        <v>0</v>
      </c>
      <c r="AI45" s="10" t="s">
        <v>43</v>
      </c>
      <c r="AJ45" s="24">
        <f t="shared" ref="AJ45:AJ52" si="57">IF(AN45=0,J45,0)</f>
        <v>0</v>
      </c>
      <c r="AK45" s="24">
        <f t="shared" ref="AK45:AK52" si="58">IF(AN45=12,J45,0)</f>
        <v>0</v>
      </c>
      <c r="AL45" s="24">
        <f t="shared" ref="AL45:AL52" si="59">IF(AN45=21,J45,0)</f>
        <v>0</v>
      </c>
      <c r="AN45" s="24">
        <v>21</v>
      </c>
      <c r="AO45" s="24">
        <f>G45*0.527933705</f>
        <v>0</v>
      </c>
      <c r="AP45" s="24">
        <f>G45*(1-0.527933705)</f>
        <v>0</v>
      </c>
      <c r="AQ45" s="26" t="s">
        <v>46</v>
      </c>
      <c r="AV45" s="24">
        <f t="shared" ref="AV45:AV52" si="60">ROUND(AW45+AX45,2)</f>
        <v>0</v>
      </c>
      <c r="AW45" s="24">
        <f t="shared" ref="AW45:AW52" si="61">ROUND(F45*AO45,2)</f>
        <v>0</v>
      </c>
      <c r="AX45" s="24">
        <f t="shared" ref="AX45:AX52" si="62">ROUND(F45*AP45,2)</f>
        <v>0</v>
      </c>
      <c r="AY45" s="26" t="s">
        <v>148</v>
      </c>
      <c r="AZ45" s="26" t="s">
        <v>129</v>
      </c>
      <c r="BA45" s="10" t="s">
        <v>52</v>
      </c>
      <c r="BC45" s="24">
        <f t="shared" ref="BC45:BC52" si="63">AW45+AX45</f>
        <v>0</v>
      </c>
      <c r="BD45" s="24">
        <f t="shared" ref="BD45:BD52" si="64">G45/(100-BE45)*100</f>
        <v>0</v>
      </c>
      <c r="BE45" s="24">
        <v>0</v>
      </c>
      <c r="BF45" s="24">
        <f>42</f>
        <v>42</v>
      </c>
      <c r="BH45" s="24">
        <f t="shared" ref="BH45:BH52" si="65">F45*AO45</f>
        <v>0</v>
      </c>
      <c r="BI45" s="24">
        <f t="shared" ref="BI45:BI52" si="66">F45*AP45</f>
        <v>0</v>
      </c>
      <c r="BJ45" s="24">
        <f t="shared" ref="BJ45:BJ52" si="67">F45*G45</f>
        <v>0</v>
      </c>
      <c r="BK45" s="26" t="s">
        <v>53</v>
      </c>
      <c r="BL45" s="24">
        <v>63</v>
      </c>
      <c r="BW45" s="24">
        <v>21</v>
      </c>
      <c r="BX45" s="4" t="s">
        <v>146</v>
      </c>
    </row>
    <row r="46" spans="1:76" ht="14.4" x14ac:dyDescent="0.3">
      <c r="A46" s="2" t="s">
        <v>149</v>
      </c>
      <c r="B46" s="3" t="s">
        <v>150</v>
      </c>
      <c r="C46" s="82" t="s">
        <v>151</v>
      </c>
      <c r="D46" s="81"/>
      <c r="E46" s="3" t="s">
        <v>147</v>
      </c>
      <c r="F46" s="24">
        <v>8.0280000000000005</v>
      </c>
      <c r="G46" s="180">
        <v>0</v>
      </c>
      <c r="H46" s="24">
        <f t="shared" si="46"/>
        <v>0</v>
      </c>
      <c r="I46" s="24">
        <f t="shared" si="47"/>
        <v>0</v>
      </c>
      <c r="J46" s="24">
        <f t="shared" si="48"/>
        <v>0</v>
      </c>
      <c r="K46" s="25"/>
      <c r="Z46" s="24">
        <f t="shared" si="49"/>
        <v>0</v>
      </c>
      <c r="AB46" s="24">
        <f t="shared" si="50"/>
        <v>0</v>
      </c>
      <c r="AC46" s="24">
        <f t="shared" si="51"/>
        <v>0</v>
      </c>
      <c r="AD46" s="24">
        <f t="shared" si="52"/>
        <v>0</v>
      </c>
      <c r="AE46" s="24">
        <f t="shared" si="53"/>
        <v>0</v>
      </c>
      <c r="AF46" s="24">
        <f t="shared" si="54"/>
        <v>0</v>
      </c>
      <c r="AG46" s="24">
        <f t="shared" si="55"/>
        <v>0</v>
      </c>
      <c r="AH46" s="24">
        <f t="shared" si="56"/>
        <v>0</v>
      </c>
      <c r="AI46" s="10" t="s">
        <v>43</v>
      </c>
      <c r="AJ46" s="24">
        <f t="shared" si="57"/>
        <v>0</v>
      </c>
      <c r="AK46" s="24">
        <f t="shared" si="58"/>
        <v>0</v>
      </c>
      <c r="AL46" s="24">
        <f t="shared" si="59"/>
        <v>0</v>
      </c>
      <c r="AN46" s="24">
        <v>21</v>
      </c>
      <c r="AO46" s="24">
        <f>G46*0.902382867</f>
        <v>0</v>
      </c>
      <c r="AP46" s="24">
        <f>G46*(1-0.902382867)</f>
        <v>0</v>
      </c>
      <c r="AQ46" s="26" t="s">
        <v>46</v>
      </c>
      <c r="AV46" s="24">
        <f t="shared" si="60"/>
        <v>0</v>
      </c>
      <c r="AW46" s="24">
        <f t="shared" si="61"/>
        <v>0</v>
      </c>
      <c r="AX46" s="24">
        <f t="shared" si="62"/>
        <v>0</v>
      </c>
      <c r="AY46" s="26" t="s">
        <v>148</v>
      </c>
      <c r="AZ46" s="26" t="s">
        <v>129</v>
      </c>
      <c r="BA46" s="10" t="s">
        <v>52</v>
      </c>
      <c r="BC46" s="24">
        <f t="shared" si="63"/>
        <v>0</v>
      </c>
      <c r="BD46" s="24">
        <f t="shared" si="64"/>
        <v>0</v>
      </c>
      <c r="BE46" s="24">
        <v>0</v>
      </c>
      <c r="BF46" s="24">
        <f>43</f>
        <v>43</v>
      </c>
      <c r="BH46" s="24">
        <f t="shared" si="65"/>
        <v>0</v>
      </c>
      <c r="BI46" s="24">
        <f t="shared" si="66"/>
        <v>0</v>
      </c>
      <c r="BJ46" s="24">
        <f t="shared" si="67"/>
        <v>0</v>
      </c>
      <c r="BK46" s="26" t="s">
        <v>53</v>
      </c>
      <c r="BL46" s="24">
        <v>63</v>
      </c>
      <c r="BW46" s="24">
        <v>21</v>
      </c>
      <c r="BX46" s="4" t="s">
        <v>151</v>
      </c>
    </row>
    <row r="47" spans="1:76" ht="14.4" x14ac:dyDescent="0.3">
      <c r="A47" s="2" t="s">
        <v>152</v>
      </c>
      <c r="B47" s="3" t="s">
        <v>153</v>
      </c>
      <c r="C47" s="82" t="s">
        <v>154</v>
      </c>
      <c r="D47" s="81"/>
      <c r="E47" s="3" t="s">
        <v>49</v>
      </c>
      <c r="F47" s="24">
        <v>133.80000000000001</v>
      </c>
      <c r="G47" s="180">
        <v>0</v>
      </c>
      <c r="H47" s="24">
        <f t="shared" si="46"/>
        <v>0</v>
      </c>
      <c r="I47" s="24">
        <f t="shared" si="47"/>
        <v>0</v>
      </c>
      <c r="J47" s="24">
        <f t="shared" si="48"/>
        <v>0</v>
      </c>
      <c r="K47" s="25"/>
      <c r="Z47" s="24">
        <f t="shared" si="49"/>
        <v>0</v>
      </c>
      <c r="AB47" s="24">
        <f t="shared" si="50"/>
        <v>0</v>
      </c>
      <c r="AC47" s="24">
        <f t="shared" si="51"/>
        <v>0</v>
      </c>
      <c r="AD47" s="24">
        <f t="shared" si="52"/>
        <v>0</v>
      </c>
      <c r="AE47" s="24">
        <f t="shared" si="53"/>
        <v>0</v>
      </c>
      <c r="AF47" s="24">
        <f t="shared" si="54"/>
        <v>0</v>
      </c>
      <c r="AG47" s="24">
        <f t="shared" si="55"/>
        <v>0</v>
      </c>
      <c r="AH47" s="24">
        <f t="shared" si="56"/>
        <v>0</v>
      </c>
      <c r="AI47" s="10" t="s">
        <v>43</v>
      </c>
      <c r="AJ47" s="24">
        <f t="shared" si="57"/>
        <v>0</v>
      </c>
      <c r="AK47" s="24">
        <f t="shared" si="58"/>
        <v>0</v>
      </c>
      <c r="AL47" s="24">
        <f t="shared" si="59"/>
        <v>0</v>
      </c>
      <c r="AN47" s="24">
        <v>21</v>
      </c>
      <c r="AO47" s="24">
        <f>G47*0.83005536</f>
        <v>0</v>
      </c>
      <c r="AP47" s="24">
        <f>G47*(1-0.83005536)</f>
        <v>0</v>
      </c>
      <c r="AQ47" s="26" t="s">
        <v>46</v>
      </c>
      <c r="AV47" s="24">
        <f t="shared" si="60"/>
        <v>0</v>
      </c>
      <c r="AW47" s="24">
        <f t="shared" si="61"/>
        <v>0</v>
      </c>
      <c r="AX47" s="24">
        <f t="shared" si="62"/>
        <v>0</v>
      </c>
      <c r="AY47" s="26" t="s">
        <v>148</v>
      </c>
      <c r="AZ47" s="26" t="s">
        <v>129</v>
      </c>
      <c r="BA47" s="10" t="s">
        <v>52</v>
      </c>
      <c r="BC47" s="24">
        <f t="shared" si="63"/>
        <v>0</v>
      </c>
      <c r="BD47" s="24">
        <f t="shared" si="64"/>
        <v>0</v>
      </c>
      <c r="BE47" s="24">
        <v>0</v>
      </c>
      <c r="BF47" s="24">
        <f>44</f>
        <v>44</v>
      </c>
      <c r="BH47" s="24">
        <f t="shared" si="65"/>
        <v>0</v>
      </c>
      <c r="BI47" s="24">
        <f t="shared" si="66"/>
        <v>0</v>
      </c>
      <c r="BJ47" s="24">
        <f t="shared" si="67"/>
        <v>0</v>
      </c>
      <c r="BK47" s="26" t="s">
        <v>53</v>
      </c>
      <c r="BL47" s="24">
        <v>63</v>
      </c>
      <c r="BW47" s="24">
        <v>21</v>
      </c>
      <c r="BX47" s="4" t="s">
        <v>154</v>
      </c>
    </row>
    <row r="48" spans="1:76" ht="14.4" x14ac:dyDescent="0.3">
      <c r="A48" s="2" t="s">
        <v>155</v>
      </c>
      <c r="B48" s="3" t="s">
        <v>156</v>
      </c>
      <c r="C48" s="82" t="s">
        <v>157</v>
      </c>
      <c r="D48" s="81"/>
      <c r="E48" s="3" t="s">
        <v>49</v>
      </c>
      <c r="F48" s="24">
        <v>133.80000000000001</v>
      </c>
      <c r="G48" s="180">
        <v>0</v>
      </c>
      <c r="H48" s="24">
        <f t="shared" si="46"/>
        <v>0</v>
      </c>
      <c r="I48" s="24">
        <f t="shared" si="47"/>
        <v>0</v>
      </c>
      <c r="J48" s="24">
        <f t="shared" si="48"/>
        <v>0</v>
      </c>
      <c r="K48" s="25"/>
      <c r="Z48" s="24">
        <f t="shared" si="49"/>
        <v>0</v>
      </c>
      <c r="AB48" s="24">
        <f t="shared" si="50"/>
        <v>0</v>
      </c>
      <c r="AC48" s="24">
        <f t="shared" si="51"/>
        <v>0</v>
      </c>
      <c r="AD48" s="24">
        <f t="shared" si="52"/>
        <v>0</v>
      </c>
      <c r="AE48" s="24">
        <f t="shared" si="53"/>
        <v>0</v>
      </c>
      <c r="AF48" s="24">
        <f t="shared" si="54"/>
        <v>0</v>
      </c>
      <c r="AG48" s="24">
        <f t="shared" si="55"/>
        <v>0</v>
      </c>
      <c r="AH48" s="24">
        <f t="shared" si="56"/>
        <v>0</v>
      </c>
      <c r="AI48" s="10" t="s">
        <v>43</v>
      </c>
      <c r="AJ48" s="24">
        <f t="shared" si="57"/>
        <v>0</v>
      </c>
      <c r="AK48" s="24">
        <f t="shared" si="58"/>
        <v>0</v>
      </c>
      <c r="AL48" s="24">
        <f t="shared" si="59"/>
        <v>0</v>
      </c>
      <c r="AN48" s="24">
        <v>21</v>
      </c>
      <c r="AO48" s="24">
        <f>G48*0.666995019</f>
        <v>0</v>
      </c>
      <c r="AP48" s="24">
        <f>G48*(1-0.666995019)</f>
        <v>0</v>
      </c>
      <c r="AQ48" s="26" t="s">
        <v>46</v>
      </c>
      <c r="AV48" s="24">
        <f t="shared" si="60"/>
        <v>0</v>
      </c>
      <c r="AW48" s="24">
        <f t="shared" si="61"/>
        <v>0</v>
      </c>
      <c r="AX48" s="24">
        <f t="shared" si="62"/>
        <v>0</v>
      </c>
      <c r="AY48" s="26" t="s">
        <v>148</v>
      </c>
      <c r="AZ48" s="26" t="s">
        <v>129</v>
      </c>
      <c r="BA48" s="10" t="s">
        <v>52</v>
      </c>
      <c r="BC48" s="24">
        <f t="shared" si="63"/>
        <v>0</v>
      </c>
      <c r="BD48" s="24">
        <f t="shared" si="64"/>
        <v>0</v>
      </c>
      <c r="BE48" s="24">
        <v>0</v>
      </c>
      <c r="BF48" s="24">
        <f>45</f>
        <v>45</v>
      </c>
      <c r="BH48" s="24">
        <f t="shared" si="65"/>
        <v>0</v>
      </c>
      <c r="BI48" s="24">
        <f t="shared" si="66"/>
        <v>0</v>
      </c>
      <c r="BJ48" s="24">
        <f t="shared" si="67"/>
        <v>0</v>
      </c>
      <c r="BK48" s="26" t="s">
        <v>53</v>
      </c>
      <c r="BL48" s="24">
        <v>63</v>
      </c>
      <c r="BW48" s="24">
        <v>21</v>
      </c>
      <c r="BX48" s="4" t="s">
        <v>157</v>
      </c>
    </row>
    <row r="49" spans="1:76" ht="14.4" x14ac:dyDescent="0.3">
      <c r="A49" s="2" t="s">
        <v>158</v>
      </c>
      <c r="B49" s="3" t="s">
        <v>159</v>
      </c>
      <c r="C49" s="82" t="s">
        <v>160</v>
      </c>
      <c r="D49" s="81"/>
      <c r="E49" s="3" t="s">
        <v>49</v>
      </c>
      <c r="F49" s="24">
        <v>133.80000000000001</v>
      </c>
      <c r="G49" s="180">
        <v>0</v>
      </c>
      <c r="H49" s="24">
        <f t="shared" si="46"/>
        <v>0</v>
      </c>
      <c r="I49" s="24">
        <f t="shared" si="47"/>
        <v>0</v>
      </c>
      <c r="J49" s="24">
        <f t="shared" si="48"/>
        <v>0</v>
      </c>
      <c r="K49" s="25"/>
      <c r="Z49" s="24">
        <f t="shared" si="49"/>
        <v>0</v>
      </c>
      <c r="AB49" s="24">
        <f t="shared" si="50"/>
        <v>0</v>
      </c>
      <c r="AC49" s="24">
        <f t="shared" si="51"/>
        <v>0</v>
      </c>
      <c r="AD49" s="24">
        <f t="shared" si="52"/>
        <v>0</v>
      </c>
      <c r="AE49" s="24">
        <f t="shared" si="53"/>
        <v>0</v>
      </c>
      <c r="AF49" s="24">
        <f t="shared" si="54"/>
        <v>0</v>
      </c>
      <c r="AG49" s="24">
        <f t="shared" si="55"/>
        <v>0</v>
      </c>
      <c r="AH49" s="24">
        <f t="shared" si="56"/>
        <v>0</v>
      </c>
      <c r="AI49" s="10" t="s">
        <v>43</v>
      </c>
      <c r="AJ49" s="24">
        <f t="shared" si="57"/>
        <v>0</v>
      </c>
      <c r="AK49" s="24">
        <f t="shared" si="58"/>
        <v>0</v>
      </c>
      <c r="AL49" s="24">
        <f t="shared" si="59"/>
        <v>0</v>
      </c>
      <c r="AN49" s="24">
        <v>21</v>
      </c>
      <c r="AO49" s="24">
        <f>G49*0.368964618</f>
        <v>0</v>
      </c>
      <c r="AP49" s="24">
        <f>G49*(1-0.368964618)</f>
        <v>0</v>
      </c>
      <c r="AQ49" s="26" t="s">
        <v>46</v>
      </c>
      <c r="AV49" s="24">
        <f t="shared" si="60"/>
        <v>0</v>
      </c>
      <c r="AW49" s="24">
        <f t="shared" si="61"/>
        <v>0</v>
      </c>
      <c r="AX49" s="24">
        <f t="shared" si="62"/>
        <v>0</v>
      </c>
      <c r="AY49" s="26" t="s">
        <v>148</v>
      </c>
      <c r="AZ49" s="26" t="s">
        <v>129</v>
      </c>
      <c r="BA49" s="10" t="s">
        <v>52</v>
      </c>
      <c r="BC49" s="24">
        <f t="shared" si="63"/>
        <v>0</v>
      </c>
      <c r="BD49" s="24">
        <f t="shared" si="64"/>
        <v>0</v>
      </c>
      <c r="BE49" s="24">
        <v>0</v>
      </c>
      <c r="BF49" s="24">
        <f>46</f>
        <v>46</v>
      </c>
      <c r="BH49" s="24">
        <f t="shared" si="65"/>
        <v>0</v>
      </c>
      <c r="BI49" s="24">
        <f t="shared" si="66"/>
        <v>0</v>
      </c>
      <c r="BJ49" s="24">
        <f t="shared" si="67"/>
        <v>0</v>
      </c>
      <c r="BK49" s="26" t="s">
        <v>53</v>
      </c>
      <c r="BL49" s="24">
        <v>63</v>
      </c>
      <c r="BW49" s="24">
        <v>21</v>
      </c>
      <c r="BX49" s="4" t="s">
        <v>160</v>
      </c>
    </row>
    <row r="50" spans="1:76" ht="14.4" x14ac:dyDescent="0.3">
      <c r="A50" s="2" t="s">
        <v>161</v>
      </c>
      <c r="B50" s="3" t="s">
        <v>162</v>
      </c>
      <c r="C50" s="82" t="s">
        <v>163</v>
      </c>
      <c r="D50" s="81"/>
      <c r="E50" s="3" t="s">
        <v>49</v>
      </c>
      <c r="F50" s="24">
        <v>74.099999999999994</v>
      </c>
      <c r="G50" s="180">
        <v>0</v>
      </c>
      <c r="H50" s="24">
        <f t="shared" si="46"/>
        <v>0</v>
      </c>
      <c r="I50" s="24">
        <f t="shared" si="47"/>
        <v>0</v>
      </c>
      <c r="J50" s="24">
        <f t="shared" si="48"/>
        <v>0</v>
      </c>
      <c r="K50" s="25"/>
      <c r="Z50" s="24">
        <f t="shared" si="49"/>
        <v>0</v>
      </c>
      <c r="AB50" s="24">
        <f t="shared" si="50"/>
        <v>0</v>
      </c>
      <c r="AC50" s="24">
        <f t="shared" si="51"/>
        <v>0</v>
      </c>
      <c r="AD50" s="24">
        <f t="shared" si="52"/>
        <v>0</v>
      </c>
      <c r="AE50" s="24">
        <f t="shared" si="53"/>
        <v>0</v>
      </c>
      <c r="AF50" s="24">
        <f t="shared" si="54"/>
        <v>0</v>
      </c>
      <c r="AG50" s="24">
        <f t="shared" si="55"/>
        <v>0</v>
      </c>
      <c r="AH50" s="24">
        <f t="shared" si="56"/>
        <v>0</v>
      </c>
      <c r="AI50" s="10" t="s">
        <v>43</v>
      </c>
      <c r="AJ50" s="24">
        <f t="shared" si="57"/>
        <v>0</v>
      </c>
      <c r="AK50" s="24">
        <f t="shared" si="58"/>
        <v>0</v>
      </c>
      <c r="AL50" s="24">
        <f t="shared" si="59"/>
        <v>0</v>
      </c>
      <c r="AN50" s="24">
        <v>21</v>
      </c>
      <c r="AO50" s="24">
        <f>G50*0.621668713</f>
        <v>0</v>
      </c>
      <c r="AP50" s="24">
        <f>G50*(1-0.621668713)</f>
        <v>0</v>
      </c>
      <c r="AQ50" s="26" t="s">
        <v>46</v>
      </c>
      <c r="AV50" s="24">
        <f t="shared" si="60"/>
        <v>0</v>
      </c>
      <c r="AW50" s="24">
        <f t="shared" si="61"/>
        <v>0</v>
      </c>
      <c r="AX50" s="24">
        <f t="shared" si="62"/>
        <v>0</v>
      </c>
      <c r="AY50" s="26" t="s">
        <v>148</v>
      </c>
      <c r="AZ50" s="26" t="s">
        <v>129</v>
      </c>
      <c r="BA50" s="10" t="s">
        <v>52</v>
      </c>
      <c r="BC50" s="24">
        <f t="shared" si="63"/>
        <v>0</v>
      </c>
      <c r="BD50" s="24">
        <f t="shared" si="64"/>
        <v>0</v>
      </c>
      <c r="BE50" s="24">
        <v>0</v>
      </c>
      <c r="BF50" s="24">
        <f>47</f>
        <v>47</v>
      </c>
      <c r="BH50" s="24">
        <f t="shared" si="65"/>
        <v>0</v>
      </c>
      <c r="BI50" s="24">
        <f t="shared" si="66"/>
        <v>0</v>
      </c>
      <c r="BJ50" s="24">
        <f t="shared" si="67"/>
        <v>0</v>
      </c>
      <c r="BK50" s="26" t="s">
        <v>53</v>
      </c>
      <c r="BL50" s="24">
        <v>63</v>
      </c>
      <c r="BW50" s="24">
        <v>21</v>
      </c>
      <c r="BX50" s="4" t="s">
        <v>163</v>
      </c>
    </row>
    <row r="51" spans="1:76" ht="14.4" x14ac:dyDescent="0.3">
      <c r="A51" s="2" t="s">
        <v>164</v>
      </c>
      <c r="B51" s="3" t="s">
        <v>165</v>
      </c>
      <c r="C51" s="82" t="s">
        <v>166</v>
      </c>
      <c r="D51" s="81"/>
      <c r="E51" s="3" t="s">
        <v>49</v>
      </c>
      <c r="F51" s="24">
        <v>3.3090000000000002</v>
      </c>
      <c r="G51" s="180">
        <v>0</v>
      </c>
      <c r="H51" s="24">
        <f t="shared" si="46"/>
        <v>0</v>
      </c>
      <c r="I51" s="24">
        <f t="shared" si="47"/>
        <v>0</v>
      </c>
      <c r="J51" s="24">
        <f t="shared" si="48"/>
        <v>0</v>
      </c>
      <c r="K51" s="25"/>
      <c r="Z51" s="24">
        <f t="shared" si="49"/>
        <v>0</v>
      </c>
      <c r="AB51" s="24">
        <f t="shared" si="50"/>
        <v>0</v>
      </c>
      <c r="AC51" s="24">
        <f t="shared" si="51"/>
        <v>0</v>
      </c>
      <c r="AD51" s="24">
        <f t="shared" si="52"/>
        <v>0</v>
      </c>
      <c r="AE51" s="24">
        <f t="shared" si="53"/>
        <v>0</v>
      </c>
      <c r="AF51" s="24">
        <f t="shared" si="54"/>
        <v>0</v>
      </c>
      <c r="AG51" s="24">
        <f t="shared" si="55"/>
        <v>0</v>
      </c>
      <c r="AH51" s="24">
        <f t="shared" si="56"/>
        <v>0</v>
      </c>
      <c r="AI51" s="10" t="s">
        <v>43</v>
      </c>
      <c r="AJ51" s="24">
        <f t="shared" si="57"/>
        <v>0</v>
      </c>
      <c r="AK51" s="24">
        <f t="shared" si="58"/>
        <v>0</v>
      </c>
      <c r="AL51" s="24">
        <f t="shared" si="59"/>
        <v>0</v>
      </c>
      <c r="AN51" s="24">
        <v>21</v>
      </c>
      <c r="AO51" s="24">
        <f>G51*0.87123102</f>
        <v>0</v>
      </c>
      <c r="AP51" s="24">
        <f>G51*(1-0.87123102)</f>
        <v>0</v>
      </c>
      <c r="AQ51" s="26" t="s">
        <v>46</v>
      </c>
      <c r="AV51" s="24">
        <f t="shared" si="60"/>
        <v>0</v>
      </c>
      <c r="AW51" s="24">
        <f t="shared" si="61"/>
        <v>0</v>
      </c>
      <c r="AX51" s="24">
        <f t="shared" si="62"/>
        <v>0</v>
      </c>
      <c r="AY51" s="26" t="s">
        <v>148</v>
      </c>
      <c r="AZ51" s="26" t="s">
        <v>129</v>
      </c>
      <c r="BA51" s="10" t="s">
        <v>52</v>
      </c>
      <c r="BC51" s="24">
        <f t="shared" si="63"/>
        <v>0</v>
      </c>
      <c r="BD51" s="24">
        <f t="shared" si="64"/>
        <v>0</v>
      </c>
      <c r="BE51" s="24">
        <v>0</v>
      </c>
      <c r="BF51" s="24">
        <f>48</f>
        <v>48</v>
      </c>
      <c r="BH51" s="24">
        <f t="shared" si="65"/>
        <v>0</v>
      </c>
      <c r="BI51" s="24">
        <f t="shared" si="66"/>
        <v>0</v>
      </c>
      <c r="BJ51" s="24">
        <f t="shared" si="67"/>
        <v>0</v>
      </c>
      <c r="BK51" s="26" t="s">
        <v>53</v>
      </c>
      <c r="BL51" s="24">
        <v>63</v>
      </c>
      <c r="BW51" s="24">
        <v>21</v>
      </c>
      <c r="BX51" s="4" t="s">
        <v>166</v>
      </c>
    </row>
    <row r="52" spans="1:76" ht="14.4" x14ac:dyDescent="0.3">
      <c r="A52" s="2" t="s">
        <v>71</v>
      </c>
      <c r="B52" s="3" t="s">
        <v>167</v>
      </c>
      <c r="C52" s="82" t="s">
        <v>168</v>
      </c>
      <c r="D52" s="81"/>
      <c r="E52" s="3" t="s">
        <v>147</v>
      </c>
      <c r="F52" s="24">
        <v>0.73124999999999996</v>
      </c>
      <c r="G52" s="180">
        <v>0</v>
      </c>
      <c r="H52" s="24">
        <f t="shared" si="46"/>
        <v>0</v>
      </c>
      <c r="I52" s="24">
        <f t="shared" si="47"/>
        <v>0</v>
      </c>
      <c r="J52" s="24">
        <f t="shared" si="48"/>
        <v>0</v>
      </c>
      <c r="K52" s="25"/>
      <c r="Z52" s="24">
        <f t="shared" si="49"/>
        <v>0</v>
      </c>
      <c r="AB52" s="24">
        <f t="shared" si="50"/>
        <v>0</v>
      </c>
      <c r="AC52" s="24">
        <f t="shared" si="51"/>
        <v>0</v>
      </c>
      <c r="AD52" s="24">
        <f t="shared" si="52"/>
        <v>0</v>
      </c>
      <c r="AE52" s="24">
        <f t="shared" si="53"/>
        <v>0</v>
      </c>
      <c r="AF52" s="24">
        <f t="shared" si="54"/>
        <v>0</v>
      </c>
      <c r="AG52" s="24">
        <f t="shared" si="55"/>
        <v>0</v>
      </c>
      <c r="AH52" s="24">
        <f t="shared" si="56"/>
        <v>0</v>
      </c>
      <c r="AI52" s="10" t="s">
        <v>43</v>
      </c>
      <c r="AJ52" s="24">
        <f t="shared" si="57"/>
        <v>0</v>
      </c>
      <c r="AK52" s="24">
        <f t="shared" si="58"/>
        <v>0</v>
      </c>
      <c r="AL52" s="24">
        <f t="shared" si="59"/>
        <v>0</v>
      </c>
      <c r="AN52" s="24">
        <v>21</v>
      </c>
      <c r="AO52" s="24">
        <f>G52*0.463413919</f>
        <v>0</v>
      </c>
      <c r="AP52" s="24">
        <f>G52*(1-0.463413919)</f>
        <v>0</v>
      </c>
      <c r="AQ52" s="26" t="s">
        <v>46</v>
      </c>
      <c r="AV52" s="24">
        <f t="shared" si="60"/>
        <v>0</v>
      </c>
      <c r="AW52" s="24">
        <f t="shared" si="61"/>
        <v>0</v>
      </c>
      <c r="AX52" s="24">
        <f t="shared" si="62"/>
        <v>0</v>
      </c>
      <c r="AY52" s="26" t="s">
        <v>148</v>
      </c>
      <c r="AZ52" s="26" t="s">
        <v>129</v>
      </c>
      <c r="BA52" s="10" t="s">
        <v>52</v>
      </c>
      <c r="BC52" s="24">
        <f t="shared" si="63"/>
        <v>0</v>
      </c>
      <c r="BD52" s="24">
        <f t="shared" si="64"/>
        <v>0</v>
      </c>
      <c r="BE52" s="24">
        <v>0</v>
      </c>
      <c r="BF52" s="24">
        <f>49</f>
        <v>49</v>
      </c>
      <c r="BH52" s="24">
        <f t="shared" si="65"/>
        <v>0</v>
      </c>
      <c r="BI52" s="24">
        <f t="shared" si="66"/>
        <v>0</v>
      </c>
      <c r="BJ52" s="24">
        <f t="shared" si="67"/>
        <v>0</v>
      </c>
      <c r="BK52" s="26" t="s">
        <v>53</v>
      </c>
      <c r="BL52" s="24">
        <v>63</v>
      </c>
      <c r="BW52" s="24">
        <v>21</v>
      </c>
      <c r="BX52" s="4" t="s">
        <v>168</v>
      </c>
    </row>
    <row r="53" spans="1:76" ht="14.4" x14ac:dyDescent="0.3">
      <c r="A53" s="27" t="s">
        <v>43</v>
      </c>
      <c r="B53" s="28" t="s">
        <v>169</v>
      </c>
      <c r="C53" s="98" t="s">
        <v>170</v>
      </c>
      <c r="D53" s="99"/>
      <c r="E53" s="29" t="s">
        <v>3</v>
      </c>
      <c r="F53" s="29" t="s">
        <v>3</v>
      </c>
      <c r="G53" s="29" t="s">
        <v>3</v>
      </c>
      <c r="H53" s="1">
        <f>ROUND(SUM(H54:H60),2)</f>
        <v>0</v>
      </c>
      <c r="I53" s="1">
        <f>ROUND(SUM(I54:I60),2)</f>
        <v>0</v>
      </c>
      <c r="J53" s="1">
        <f>ROUND(SUM(J54:J60),2)</f>
        <v>0</v>
      </c>
      <c r="K53" s="30"/>
      <c r="AI53" s="10" t="s">
        <v>43</v>
      </c>
      <c r="AS53" s="1">
        <f>SUM(AJ54:AJ60)</f>
        <v>0</v>
      </c>
      <c r="AT53" s="1">
        <f>SUM(AK54:AK60)</f>
        <v>0</v>
      </c>
      <c r="AU53" s="1">
        <f>SUM(AL54:AL60)</f>
        <v>0</v>
      </c>
    </row>
    <row r="54" spans="1:76" ht="14.4" x14ac:dyDescent="0.3">
      <c r="A54" s="2" t="s">
        <v>171</v>
      </c>
      <c r="B54" s="3" t="s">
        <v>172</v>
      </c>
      <c r="C54" s="82" t="s">
        <v>173</v>
      </c>
      <c r="D54" s="81"/>
      <c r="E54" s="3" t="s">
        <v>174</v>
      </c>
      <c r="F54" s="24">
        <v>1</v>
      </c>
      <c r="G54" s="180">
        <v>0</v>
      </c>
      <c r="H54" s="24">
        <f t="shared" ref="H54:H60" si="68">ROUND(F54*AO54,2)</f>
        <v>0</v>
      </c>
      <c r="I54" s="24">
        <f t="shared" ref="I54:I60" si="69">ROUND(F54*AP54,2)</f>
        <v>0</v>
      </c>
      <c r="J54" s="24">
        <f t="shared" ref="J54:J60" si="70">ROUND(F54*G54,2)</f>
        <v>0</v>
      </c>
      <c r="K54" s="25"/>
      <c r="Z54" s="24">
        <f t="shared" ref="Z54:Z60" si="71">ROUND(IF(AQ54="5",BJ54,0),2)</f>
        <v>0</v>
      </c>
      <c r="AB54" s="24">
        <f t="shared" ref="AB54:AB60" si="72">ROUND(IF(AQ54="1",BH54,0),2)</f>
        <v>0</v>
      </c>
      <c r="AC54" s="24">
        <f t="shared" ref="AC54:AC60" si="73">ROUND(IF(AQ54="1",BI54,0),2)</f>
        <v>0</v>
      </c>
      <c r="AD54" s="24">
        <f t="shared" ref="AD54:AD60" si="74">ROUND(IF(AQ54="7",BH54,0),2)</f>
        <v>0</v>
      </c>
      <c r="AE54" s="24">
        <f t="shared" ref="AE54:AE60" si="75">ROUND(IF(AQ54="7",BI54,0),2)</f>
        <v>0</v>
      </c>
      <c r="AF54" s="24">
        <f t="shared" ref="AF54:AF60" si="76">ROUND(IF(AQ54="2",BH54,0),2)</f>
        <v>0</v>
      </c>
      <c r="AG54" s="24">
        <f t="shared" ref="AG54:AG60" si="77">ROUND(IF(AQ54="2",BI54,0),2)</f>
        <v>0</v>
      </c>
      <c r="AH54" s="24">
        <f t="shared" ref="AH54:AH60" si="78">ROUND(IF(AQ54="0",BJ54,0),2)</f>
        <v>0</v>
      </c>
      <c r="AI54" s="10" t="s">
        <v>43</v>
      </c>
      <c r="AJ54" s="24">
        <f t="shared" ref="AJ54:AJ60" si="79">IF(AN54=0,J54,0)</f>
        <v>0</v>
      </c>
      <c r="AK54" s="24">
        <f t="shared" ref="AK54:AK60" si="80">IF(AN54=12,J54,0)</f>
        <v>0</v>
      </c>
      <c r="AL54" s="24">
        <f t="shared" ref="AL54:AL60" si="81">IF(AN54=21,J54,0)</f>
        <v>0</v>
      </c>
      <c r="AN54" s="24">
        <v>21</v>
      </c>
      <c r="AO54" s="24">
        <f t="shared" ref="AO54:AO59" si="82">G54*1</f>
        <v>0</v>
      </c>
      <c r="AP54" s="24">
        <f t="shared" ref="AP54:AP59" si="83">G54*(1-1)</f>
        <v>0</v>
      </c>
      <c r="AQ54" s="26" t="s">
        <v>46</v>
      </c>
      <c r="AV54" s="24">
        <f t="shared" ref="AV54:AV60" si="84">ROUND(AW54+AX54,2)</f>
        <v>0</v>
      </c>
      <c r="AW54" s="24">
        <f t="shared" ref="AW54:AW60" si="85">ROUND(F54*AO54,2)</f>
        <v>0</v>
      </c>
      <c r="AX54" s="24">
        <f t="shared" ref="AX54:AX60" si="86">ROUND(F54*AP54,2)</f>
        <v>0</v>
      </c>
      <c r="AY54" s="26" t="s">
        <v>175</v>
      </c>
      <c r="AZ54" s="26" t="s">
        <v>129</v>
      </c>
      <c r="BA54" s="10" t="s">
        <v>52</v>
      </c>
      <c r="BC54" s="24">
        <f t="shared" ref="BC54:BC60" si="87">AW54+AX54</f>
        <v>0</v>
      </c>
      <c r="BD54" s="24">
        <f t="shared" ref="BD54:BD60" si="88">G54/(100-BE54)*100</f>
        <v>0</v>
      </c>
      <c r="BE54" s="24">
        <v>0</v>
      </c>
      <c r="BF54" s="24">
        <f>51</f>
        <v>51</v>
      </c>
      <c r="BH54" s="24">
        <f t="shared" ref="BH54:BH60" si="89">F54*AO54</f>
        <v>0</v>
      </c>
      <c r="BI54" s="24">
        <f t="shared" ref="BI54:BI60" si="90">F54*AP54</f>
        <v>0</v>
      </c>
      <c r="BJ54" s="24">
        <f t="shared" ref="BJ54:BJ60" si="91">F54*G54</f>
        <v>0</v>
      </c>
      <c r="BK54" s="26" t="s">
        <v>53</v>
      </c>
      <c r="BL54" s="24">
        <v>64</v>
      </c>
      <c r="BW54" s="24">
        <v>21</v>
      </c>
      <c r="BX54" s="4" t="s">
        <v>173</v>
      </c>
    </row>
    <row r="55" spans="1:76" ht="14.4" x14ac:dyDescent="0.3">
      <c r="A55" s="2" t="s">
        <v>176</v>
      </c>
      <c r="B55" s="3" t="s">
        <v>177</v>
      </c>
      <c r="C55" s="82" t="s">
        <v>178</v>
      </c>
      <c r="D55" s="81"/>
      <c r="E55" s="3" t="s">
        <v>174</v>
      </c>
      <c r="F55" s="24">
        <v>1</v>
      </c>
      <c r="G55" s="180">
        <v>0</v>
      </c>
      <c r="H55" s="24">
        <f t="shared" si="68"/>
        <v>0</v>
      </c>
      <c r="I55" s="24">
        <f t="shared" si="69"/>
        <v>0</v>
      </c>
      <c r="J55" s="24">
        <f t="shared" si="70"/>
        <v>0</v>
      </c>
      <c r="K55" s="25"/>
      <c r="Z55" s="24">
        <f t="shared" si="71"/>
        <v>0</v>
      </c>
      <c r="AB55" s="24">
        <f t="shared" si="72"/>
        <v>0</v>
      </c>
      <c r="AC55" s="24">
        <f t="shared" si="73"/>
        <v>0</v>
      </c>
      <c r="AD55" s="24">
        <f t="shared" si="74"/>
        <v>0</v>
      </c>
      <c r="AE55" s="24">
        <f t="shared" si="75"/>
        <v>0</v>
      </c>
      <c r="AF55" s="24">
        <f t="shared" si="76"/>
        <v>0</v>
      </c>
      <c r="AG55" s="24">
        <f t="shared" si="77"/>
        <v>0</v>
      </c>
      <c r="AH55" s="24">
        <f t="shared" si="78"/>
        <v>0</v>
      </c>
      <c r="AI55" s="10" t="s">
        <v>43</v>
      </c>
      <c r="AJ55" s="24">
        <f t="shared" si="79"/>
        <v>0</v>
      </c>
      <c r="AK55" s="24">
        <f t="shared" si="80"/>
        <v>0</v>
      </c>
      <c r="AL55" s="24">
        <f t="shared" si="81"/>
        <v>0</v>
      </c>
      <c r="AN55" s="24">
        <v>21</v>
      </c>
      <c r="AO55" s="24">
        <f t="shared" si="82"/>
        <v>0</v>
      </c>
      <c r="AP55" s="24">
        <f t="shared" si="83"/>
        <v>0</v>
      </c>
      <c r="AQ55" s="26" t="s">
        <v>46</v>
      </c>
      <c r="AV55" s="24">
        <f t="shared" si="84"/>
        <v>0</v>
      </c>
      <c r="AW55" s="24">
        <f t="shared" si="85"/>
        <v>0</v>
      </c>
      <c r="AX55" s="24">
        <f t="shared" si="86"/>
        <v>0</v>
      </c>
      <c r="AY55" s="26" t="s">
        <v>175</v>
      </c>
      <c r="AZ55" s="26" t="s">
        <v>129</v>
      </c>
      <c r="BA55" s="10" t="s">
        <v>52</v>
      </c>
      <c r="BC55" s="24">
        <f t="shared" si="87"/>
        <v>0</v>
      </c>
      <c r="BD55" s="24">
        <f t="shared" si="88"/>
        <v>0</v>
      </c>
      <c r="BE55" s="24">
        <v>0</v>
      </c>
      <c r="BF55" s="24">
        <f>52</f>
        <v>52</v>
      </c>
      <c r="BH55" s="24">
        <f t="shared" si="89"/>
        <v>0</v>
      </c>
      <c r="BI55" s="24">
        <f t="shared" si="90"/>
        <v>0</v>
      </c>
      <c r="BJ55" s="24">
        <f t="shared" si="91"/>
        <v>0</v>
      </c>
      <c r="BK55" s="26" t="s">
        <v>53</v>
      </c>
      <c r="BL55" s="24">
        <v>64</v>
      </c>
      <c r="BW55" s="24">
        <v>21</v>
      </c>
      <c r="BX55" s="4" t="s">
        <v>178</v>
      </c>
    </row>
    <row r="56" spans="1:76" ht="14.4" x14ac:dyDescent="0.3">
      <c r="A56" s="2" t="s">
        <v>79</v>
      </c>
      <c r="B56" s="3" t="s">
        <v>179</v>
      </c>
      <c r="C56" s="82" t="s">
        <v>180</v>
      </c>
      <c r="D56" s="81"/>
      <c r="E56" s="3" t="s">
        <v>174</v>
      </c>
      <c r="F56" s="24">
        <v>1</v>
      </c>
      <c r="G56" s="180">
        <v>0</v>
      </c>
      <c r="H56" s="24">
        <f t="shared" si="68"/>
        <v>0</v>
      </c>
      <c r="I56" s="24">
        <f t="shared" si="69"/>
        <v>0</v>
      </c>
      <c r="J56" s="24">
        <f t="shared" si="70"/>
        <v>0</v>
      </c>
      <c r="K56" s="25"/>
      <c r="Z56" s="24">
        <f t="shared" si="71"/>
        <v>0</v>
      </c>
      <c r="AB56" s="24">
        <f t="shared" si="72"/>
        <v>0</v>
      </c>
      <c r="AC56" s="24">
        <f t="shared" si="73"/>
        <v>0</v>
      </c>
      <c r="AD56" s="24">
        <f t="shared" si="74"/>
        <v>0</v>
      </c>
      <c r="AE56" s="24">
        <f t="shared" si="75"/>
        <v>0</v>
      </c>
      <c r="AF56" s="24">
        <f t="shared" si="76"/>
        <v>0</v>
      </c>
      <c r="AG56" s="24">
        <f t="shared" si="77"/>
        <v>0</v>
      </c>
      <c r="AH56" s="24">
        <f t="shared" si="78"/>
        <v>0</v>
      </c>
      <c r="AI56" s="10" t="s">
        <v>43</v>
      </c>
      <c r="AJ56" s="24">
        <f t="shared" si="79"/>
        <v>0</v>
      </c>
      <c r="AK56" s="24">
        <f t="shared" si="80"/>
        <v>0</v>
      </c>
      <c r="AL56" s="24">
        <f t="shared" si="81"/>
        <v>0</v>
      </c>
      <c r="AN56" s="24">
        <v>21</v>
      </c>
      <c r="AO56" s="24">
        <f t="shared" si="82"/>
        <v>0</v>
      </c>
      <c r="AP56" s="24">
        <f t="shared" si="83"/>
        <v>0</v>
      </c>
      <c r="AQ56" s="26" t="s">
        <v>46</v>
      </c>
      <c r="AV56" s="24">
        <f t="shared" si="84"/>
        <v>0</v>
      </c>
      <c r="AW56" s="24">
        <f t="shared" si="85"/>
        <v>0</v>
      </c>
      <c r="AX56" s="24">
        <f t="shared" si="86"/>
        <v>0</v>
      </c>
      <c r="AY56" s="26" t="s">
        <v>175</v>
      </c>
      <c r="AZ56" s="26" t="s">
        <v>129</v>
      </c>
      <c r="BA56" s="10" t="s">
        <v>52</v>
      </c>
      <c r="BC56" s="24">
        <f t="shared" si="87"/>
        <v>0</v>
      </c>
      <c r="BD56" s="24">
        <f t="shared" si="88"/>
        <v>0</v>
      </c>
      <c r="BE56" s="24">
        <v>0</v>
      </c>
      <c r="BF56" s="24">
        <f>53</f>
        <v>53</v>
      </c>
      <c r="BH56" s="24">
        <f t="shared" si="89"/>
        <v>0</v>
      </c>
      <c r="BI56" s="24">
        <f t="shared" si="90"/>
        <v>0</v>
      </c>
      <c r="BJ56" s="24">
        <f t="shared" si="91"/>
        <v>0</v>
      </c>
      <c r="BK56" s="26" t="s">
        <v>53</v>
      </c>
      <c r="BL56" s="24">
        <v>64</v>
      </c>
      <c r="BW56" s="24">
        <v>21</v>
      </c>
      <c r="BX56" s="4" t="s">
        <v>180</v>
      </c>
    </row>
    <row r="57" spans="1:76" ht="14.4" x14ac:dyDescent="0.3">
      <c r="A57" s="2" t="s">
        <v>181</v>
      </c>
      <c r="B57" s="3" t="s">
        <v>182</v>
      </c>
      <c r="C57" s="82" t="s">
        <v>183</v>
      </c>
      <c r="D57" s="81"/>
      <c r="E57" s="3" t="s">
        <v>174</v>
      </c>
      <c r="F57" s="24">
        <v>3</v>
      </c>
      <c r="G57" s="180">
        <v>0</v>
      </c>
      <c r="H57" s="24">
        <f t="shared" si="68"/>
        <v>0</v>
      </c>
      <c r="I57" s="24">
        <f t="shared" si="69"/>
        <v>0</v>
      </c>
      <c r="J57" s="24">
        <f t="shared" si="70"/>
        <v>0</v>
      </c>
      <c r="K57" s="25"/>
      <c r="Z57" s="24">
        <f t="shared" si="71"/>
        <v>0</v>
      </c>
      <c r="AB57" s="24">
        <f t="shared" si="72"/>
        <v>0</v>
      </c>
      <c r="AC57" s="24">
        <f t="shared" si="73"/>
        <v>0</v>
      </c>
      <c r="AD57" s="24">
        <f t="shared" si="74"/>
        <v>0</v>
      </c>
      <c r="AE57" s="24">
        <f t="shared" si="75"/>
        <v>0</v>
      </c>
      <c r="AF57" s="24">
        <f t="shared" si="76"/>
        <v>0</v>
      </c>
      <c r="AG57" s="24">
        <f t="shared" si="77"/>
        <v>0</v>
      </c>
      <c r="AH57" s="24">
        <f t="shared" si="78"/>
        <v>0</v>
      </c>
      <c r="AI57" s="10" t="s">
        <v>43</v>
      </c>
      <c r="AJ57" s="24">
        <f t="shared" si="79"/>
        <v>0</v>
      </c>
      <c r="AK57" s="24">
        <f t="shared" si="80"/>
        <v>0</v>
      </c>
      <c r="AL57" s="24">
        <f t="shared" si="81"/>
        <v>0</v>
      </c>
      <c r="AN57" s="24">
        <v>21</v>
      </c>
      <c r="AO57" s="24">
        <f t="shared" si="82"/>
        <v>0</v>
      </c>
      <c r="AP57" s="24">
        <f t="shared" si="83"/>
        <v>0</v>
      </c>
      <c r="AQ57" s="26" t="s">
        <v>46</v>
      </c>
      <c r="AV57" s="24">
        <f t="shared" si="84"/>
        <v>0</v>
      </c>
      <c r="AW57" s="24">
        <f t="shared" si="85"/>
        <v>0</v>
      </c>
      <c r="AX57" s="24">
        <f t="shared" si="86"/>
        <v>0</v>
      </c>
      <c r="AY57" s="26" t="s">
        <v>175</v>
      </c>
      <c r="AZ57" s="26" t="s">
        <v>129</v>
      </c>
      <c r="BA57" s="10" t="s">
        <v>52</v>
      </c>
      <c r="BC57" s="24">
        <f t="shared" si="87"/>
        <v>0</v>
      </c>
      <c r="BD57" s="24">
        <f t="shared" si="88"/>
        <v>0</v>
      </c>
      <c r="BE57" s="24">
        <v>0</v>
      </c>
      <c r="BF57" s="24">
        <f>54</f>
        <v>54</v>
      </c>
      <c r="BH57" s="24">
        <f t="shared" si="89"/>
        <v>0</v>
      </c>
      <c r="BI57" s="24">
        <f t="shared" si="90"/>
        <v>0</v>
      </c>
      <c r="BJ57" s="24">
        <f t="shared" si="91"/>
        <v>0</v>
      </c>
      <c r="BK57" s="26" t="s">
        <v>53</v>
      </c>
      <c r="BL57" s="24">
        <v>64</v>
      </c>
      <c r="BW57" s="24">
        <v>21</v>
      </c>
      <c r="BX57" s="4" t="s">
        <v>183</v>
      </c>
    </row>
    <row r="58" spans="1:76" ht="14.4" x14ac:dyDescent="0.3">
      <c r="A58" s="2" t="s">
        <v>184</v>
      </c>
      <c r="B58" s="3" t="s">
        <v>185</v>
      </c>
      <c r="C58" s="82" t="s">
        <v>186</v>
      </c>
      <c r="D58" s="81"/>
      <c r="E58" s="3" t="s">
        <v>174</v>
      </c>
      <c r="F58" s="24">
        <v>2</v>
      </c>
      <c r="G58" s="180">
        <v>0</v>
      </c>
      <c r="H58" s="24">
        <f t="shared" si="68"/>
        <v>0</v>
      </c>
      <c r="I58" s="24">
        <f t="shared" si="69"/>
        <v>0</v>
      </c>
      <c r="J58" s="24">
        <f t="shared" si="70"/>
        <v>0</v>
      </c>
      <c r="K58" s="25"/>
      <c r="Z58" s="24">
        <f t="shared" si="71"/>
        <v>0</v>
      </c>
      <c r="AB58" s="24">
        <f t="shared" si="72"/>
        <v>0</v>
      </c>
      <c r="AC58" s="24">
        <f t="shared" si="73"/>
        <v>0</v>
      </c>
      <c r="AD58" s="24">
        <f t="shared" si="74"/>
        <v>0</v>
      </c>
      <c r="AE58" s="24">
        <f t="shared" si="75"/>
        <v>0</v>
      </c>
      <c r="AF58" s="24">
        <f t="shared" si="76"/>
        <v>0</v>
      </c>
      <c r="AG58" s="24">
        <f t="shared" si="77"/>
        <v>0</v>
      </c>
      <c r="AH58" s="24">
        <f t="shared" si="78"/>
        <v>0</v>
      </c>
      <c r="AI58" s="10" t="s">
        <v>43</v>
      </c>
      <c r="AJ58" s="24">
        <f t="shared" si="79"/>
        <v>0</v>
      </c>
      <c r="AK58" s="24">
        <f t="shared" si="80"/>
        <v>0</v>
      </c>
      <c r="AL58" s="24">
        <f t="shared" si="81"/>
        <v>0</v>
      </c>
      <c r="AN58" s="24">
        <v>21</v>
      </c>
      <c r="AO58" s="24">
        <f t="shared" si="82"/>
        <v>0</v>
      </c>
      <c r="AP58" s="24">
        <f t="shared" si="83"/>
        <v>0</v>
      </c>
      <c r="AQ58" s="26" t="s">
        <v>46</v>
      </c>
      <c r="AV58" s="24">
        <f t="shared" si="84"/>
        <v>0</v>
      </c>
      <c r="AW58" s="24">
        <f t="shared" si="85"/>
        <v>0</v>
      </c>
      <c r="AX58" s="24">
        <f t="shared" si="86"/>
        <v>0</v>
      </c>
      <c r="AY58" s="26" t="s">
        <v>175</v>
      </c>
      <c r="AZ58" s="26" t="s">
        <v>129</v>
      </c>
      <c r="BA58" s="10" t="s">
        <v>52</v>
      </c>
      <c r="BC58" s="24">
        <f t="shared" si="87"/>
        <v>0</v>
      </c>
      <c r="BD58" s="24">
        <f t="shared" si="88"/>
        <v>0</v>
      </c>
      <c r="BE58" s="24">
        <v>0</v>
      </c>
      <c r="BF58" s="24">
        <f>55</f>
        <v>55</v>
      </c>
      <c r="BH58" s="24">
        <f t="shared" si="89"/>
        <v>0</v>
      </c>
      <c r="BI58" s="24">
        <f t="shared" si="90"/>
        <v>0</v>
      </c>
      <c r="BJ58" s="24">
        <f t="shared" si="91"/>
        <v>0</v>
      </c>
      <c r="BK58" s="26" t="s">
        <v>53</v>
      </c>
      <c r="BL58" s="24">
        <v>64</v>
      </c>
      <c r="BW58" s="24">
        <v>21</v>
      </c>
      <c r="BX58" s="4" t="s">
        <v>186</v>
      </c>
    </row>
    <row r="59" spans="1:76" ht="14.4" x14ac:dyDescent="0.3">
      <c r="A59" s="2" t="s">
        <v>187</v>
      </c>
      <c r="B59" s="3" t="s">
        <v>188</v>
      </c>
      <c r="C59" s="82" t="s">
        <v>189</v>
      </c>
      <c r="D59" s="81"/>
      <c r="E59" s="3" t="s">
        <v>174</v>
      </c>
      <c r="F59" s="24">
        <v>1</v>
      </c>
      <c r="G59" s="180">
        <v>0</v>
      </c>
      <c r="H59" s="24">
        <f t="shared" si="68"/>
        <v>0</v>
      </c>
      <c r="I59" s="24">
        <f t="shared" si="69"/>
        <v>0</v>
      </c>
      <c r="J59" s="24">
        <f t="shared" si="70"/>
        <v>0</v>
      </c>
      <c r="K59" s="25"/>
      <c r="Z59" s="24">
        <f t="shared" si="71"/>
        <v>0</v>
      </c>
      <c r="AB59" s="24">
        <f t="shared" si="72"/>
        <v>0</v>
      </c>
      <c r="AC59" s="24">
        <f t="shared" si="73"/>
        <v>0</v>
      </c>
      <c r="AD59" s="24">
        <f t="shared" si="74"/>
        <v>0</v>
      </c>
      <c r="AE59" s="24">
        <f t="shared" si="75"/>
        <v>0</v>
      </c>
      <c r="AF59" s="24">
        <f t="shared" si="76"/>
        <v>0</v>
      </c>
      <c r="AG59" s="24">
        <f t="shared" si="77"/>
        <v>0</v>
      </c>
      <c r="AH59" s="24">
        <f t="shared" si="78"/>
        <v>0</v>
      </c>
      <c r="AI59" s="10" t="s">
        <v>43</v>
      </c>
      <c r="AJ59" s="24">
        <f t="shared" si="79"/>
        <v>0</v>
      </c>
      <c r="AK59" s="24">
        <f t="shared" si="80"/>
        <v>0</v>
      </c>
      <c r="AL59" s="24">
        <f t="shared" si="81"/>
        <v>0</v>
      </c>
      <c r="AN59" s="24">
        <v>21</v>
      </c>
      <c r="AO59" s="24">
        <f t="shared" si="82"/>
        <v>0</v>
      </c>
      <c r="AP59" s="24">
        <f t="shared" si="83"/>
        <v>0</v>
      </c>
      <c r="AQ59" s="26" t="s">
        <v>46</v>
      </c>
      <c r="AV59" s="24">
        <f t="shared" si="84"/>
        <v>0</v>
      </c>
      <c r="AW59" s="24">
        <f t="shared" si="85"/>
        <v>0</v>
      </c>
      <c r="AX59" s="24">
        <f t="shared" si="86"/>
        <v>0</v>
      </c>
      <c r="AY59" s="26" t="s">
        <v>175</v>
      </c>
      <c r="AZ59" s="26" t="s">
        <v>129</v>
      </c>
      <c r="BA59" s="10" t="s">
        <v>52</v>
      </c>
      <c r="BC59" s="24">
        <f t="shared" si="87"/>
        <v>0</v>
      </c>
      <c r="BD59" s="24">
        <f t="shared" si="88"/>
        <v>0</v>
      </c>
      <c r="BE59" s="24">
        <v>0</v>
      </c>
      <c r="BF59" s="24">
        <f>56</f>
        <v>56</v>
      </c>
      <c r="BH59" s="24">
        <f t="shared" si="89"/>
        <v>0</v>
      </c>
      <c r="BI59" s="24">
        <f t="shared" si="90"/>
        <v>0</v>
      </c>
      <c r="BJ59" s="24">
        <f t="shared" si="91"/>
        <v>0</v>
      </c>
      <c r="BK59" s="26" t="s">
        <v>53</v>
      </c>
      <c r="BL59" s="24">
        <v>64</v>
      </c>
      <c r="BW59" s="24">
        <v>21</v>
      </c>
      <c r="BX59" s="4" t="s">
        <v>189</v>
      </c>
    </row>
    <row r="60" spans="1:76" ht="14.4" x14ac:dyDescent="0.3">
      <c r="A60" s="2" t="s">
        <v>190</v>
      </c>
      <c r="B60" s="3" t="s">
        <v>191</v>
      </c>
      <c r="C60" s="82" t="s">
        <v>192</v>
      </c>
      <c r="D60" s="81"/>
      <c r="E60" s="3" t="s">
        <v>193</v>
      </c>
      <c r="F60" s="24">
        <v>1</v>
      </c>
      <c r="G60" s="180">
        <v>0</v>
      </c>
      <c r="H60" s="24">
        <f t="shared" si="68"/>
        <v>0</v>
      </c>
      <c r="I60" s="24">
        <f t="shared" si="69"/>
        <v>0</v>
      </c>
      <c r="J60" s="24">
        <f t="shared" si="70"/>
        <v>0</v>
      </c>
      <c r="K60" s="25"/>
      <c r="Z60" s="24">
        <f t="shared" si="71"/>
        <v>0</v>
      </c>
      <c r="AB60" s="24">
        <f t="shared" si="72"/>
        <v>0</v>
      </c>
      <c r="AC60" s="24">
        <f t="shared" si="73"/>
        <v>0</v>
      </c>
      <c r="AD60" s="24">
        <f t="shared" si="74"/>
        <v>0</v>
      </c>
      <c r="AE60" s="24">
        <f t="shared" si="75"/>
        <v>0</v>
      </c>
      <c r="AF60" s="24">
        <f t="shared" si="76"/>
        <v>0</v>
      </c>
      <c r="AG60" s="24">
        <f t="shared" si="77"/>
        <v>0</v>
      </c>
      <c r="AH60" s="24">
        <f t="shared" si="78"/>
        <v>0</v>
      </c>
      <c r="AI60" s="10" t="s">
        <v>43</v>
      </c>
      <c r="AJ60" s="24">
        <f t="shared" si="79"/>
        <v>0</v>
      </c>
      <c r="AK60" s="24">
        <f t="shared" si="80"/>
        <v>0</v>
      </c>
      <c r="AL60" s="24">
        <f t="shared" si="81"/>
        <v>0</v>
      </c>
      <c r="AN60" s="24">
        <v>21</v>
      </c>
      <c r="AO60" s="24">
        <f>G60*0</f>
        <v>0</v>
      </c>
      <c r="AP60" s="24">
        <f>G60*(1-0)</f>
        <v>0</v>
      </c>
      <c r="AQ60" s="26" t="s">
        <v>46</v>
      </c>
      <c r="AV60" s="24">
        <f t="shared" si="84"/>
        <v>0</v>
      </c>
      <c r="AW60" s="24">
        <f t="shared" si="85"/>
        <v>0</v>
      </c>
      <c r="AX60" s="24">
        <f t="shared" si="86"/>
        <v>0</v>
      </c>
      <c r="AY60" s="26" t="s">
        <v>175</v>
      </c>
      <c r="AZ60" s="26" t="s">
        <v>129</v>
      </c>
      <c r="BA60" s="10" t="s">
        <v>52</v>
      </c>
      <c r="BC60" s="24">
        <f t="shared" si="87"/>
        <v>0</v>
      </c>
      <c r="BD60" s="24">
        <f t="shared" si="88"/>
        <v>0</v>
      </c>
      <c r="BE60" s="24">
        <v>0</v>
      </c>
      <c r="BF60" s="24">
        <f>57</f>
        <v>57</v>
      </c>
      <c r="BH60" s="24">
        <f t="shared" si="89"/>
        <v>0</v>
      </c>
      <c r="BI60" s="24">
        <f t="shared" si="90"/>
        <v>0</v>
      </c>
      <c r="BJ60" s="24">
        <f t="shared" si="91"/>
        <v>0</v>
      </c>
      <c r="BK60" s="26" t="s">
        <v>53</v>
      </c>
      <c r="BL60" s="24">
        <v>64</v>
      </c>
      <c r="BW60" s="24">
        <v>21</v>
      </c>
      <c r="BX60" s="4" t="s">
        <v>192</v>
      </c>
    </row>
    <row r="61" spans="1:76" ht="14.4" x14ac:dyDescent="0.3">
      <c r="A61" s="27" t="s">
        <v>43</v>
      </c>
      <c r="B61" s="28" t="s">
        <v>194</v>
      </c>
      <c r="C61" s="98" t="s">
        <v>195</v>
      </c>
      <c r="D61" s="99"/>
      <c r="E61" s="29" t="s">
        <v>3</v>
      </c>
      <c r="F61" s="29" t="s">
        <v>3</v>
      </c>
      <c r="G61" s="29" t="s">
        <v>3</v>
      </c>
      <c r="H61" s="1">
        <f>ROUND(SUM(H62:H67),2)</f>
        <v>0</v>
      </c>
      <c r="I61" s="1">
        <f>ROUND(SUM(I62:I67),2)</f>
        <v>0</v>
      </c>
      <c r="J61" s="1">
        <f>ROUND(SUM(J62:J67),2)</f>
        <v>0</v>
      </c>
      <c r="K61" s="30"/>
      <c r="AI61" s="10" t="s">
        <v>43</v>
      </c>
      <c r="AS61" s="1">
        <f>SUM(AJ62:AJ67)</f>
        <v>0</v>
      </c>
      <c r="AT61" s="1">
        <f>SUM(AK62:AK67)</f>
        <v>0</v>
      </c>
      <c r="AU61" s="1">
        <f>SUM(AL62:AL67)</f>
        <v>0</v>
      </c>
    </row>
    <row r="62" spans="1:76" ht="14.4" x14ac:dyDescent="0.3">
      <c r="A62" s="2" t="s">
        <v>196</v>
      </c>
      <c r="B62" s="3" t="s">
        <v>197</v>
      </c>
      <c r="C62" s="82" t="s">
        <v>198</v>
      </c>
      <c r="D62" s="81"/>
      <c r="E62" s="3" t="s">
        <v>49</v>
      </c>
      <c r="F62" s="24">
        <v>108.6</v>
      </c>
      <c r="G62" s="180">
        <v>0</v>
      </c>
      <c r="H62" s="24">
        <f t="shared" ref="H62:H67" si="92">ROUND(F62*AO62,2)</f>
        <v>0</v>
      </c>
      <c r="I62" s="24">
        <f t="shared" ref="I62:I67" si="93">ROUND(F62*AP62,2)</f>
        <v>0</v>
      </c>
      <c r="J62" s="24">
        <f t="shared" ref="J62:J67" si="94">ROUND(F62*G62,2)</f>
        <v>0</v>
      </c>
      <c r="K62" s="25"/>
      <c r="Z62" s="24">
        <f t="shared" ref="Z62:Z67" si="95">ROUND(IF(AQ62="5",BJ62,0),2)</f>
        <v>0</v>
      </c>
      <c r="AB62" s="24">
        <f t="shared" ref="AB62:AB67" si="96">ROUND(IF(AQ62="1",BH62,0),2)</f>
        <v>0</v>
      </c>
      <c r="AC62" s="24">
        <f t="shared" ref="AC62:AC67" si="97">ROUND(IF(AQ62="1",BI62,0),2)</f>
        <v>0</v>
      </c>
      <c r="AD62" s="24">
        <f t="shared" ref="AD62:AD67" si="98">ROUND(IF(AQ62="7",BH62,0),2)</f>
        <v>0</v>
      </c>
      <c r="AE62" s="24">
        <f t="shared" ref="AE62:AE67" si="99">ROUND(IF(AQ62="7",BI62,0),2)</f>
        <v>0</v>
      </c>
      <c r="AF62" s="24">
        <f t="shared" ref="AF62:AF67" si="100">ROUND(IF(AQ62="2",BH62,0),2)</f>
        <v>0</v>
      </c>
      <c r="AG62" s="24">
        <f t="shared" ref="AG62:AG67" si="101">ROUND(IF(AQ62="2",BI62,0),2)</f>
        <v>0</v>
      </c>
      <c r="AH62" s="24">
        <f t="shared" ref="AH62:AH67" si="102">ROUND(IF(AQ62="0",BJ62,0),2)</f>
        <v>0</v>
      </c>
      <c r="AI62" s="10" t="s">
        <v>43</v>
      </c>
      <c r="AJ62" s="24">
        <f t="shared" ref="AJ62:AJ67" si="103">IF(AN62=0,J62,0)</f>
        <v>0</v>
      </c>
      <c r="AK62" s="24">
        <f t="shared" ref="AK62:AK67" si="104">IF(AN62=12,J62,0)</f>
        <v>0</v>
      </c>
      <c r="AL62" s="24">
        <f t="shared" ref="AL62:AL67" si="105">IF(AN62=21,J62,0)</f>
        <v>0</v>
      </c>
      <c r="AN62" s="24">
        <v>21</v>
      </c>
      <c r="AO62" s="24">
        <f>G62*0.348880451</f>
        <v>0</v>
      </c>
      <c r="AP62" s="24">
        <f>G62*(1-0.348880451)</f>
        <v>0</v>
      </c>
      <c r="AQ62" s="26" t="s">
        <v>73</v>
      </c>
      <c r="AV62" s="24">
        <f t="shared" ref="AV62:AV67" si="106">ROUND(AW62+AX62,2)</f>
        <v>0</v>
      </c>
      <c r="AW62" s="24">
        <f t="shared" ref="AW62:AW67" si="107">ROUND(F62*AO62,2)</f>
        <v>0</v>
      </c>
      <c r="AX62" s="24">
        <f t="shared" ref="AX62:AX67" si="108">ROUND(F62*AP62,2)</f>
        <v>0</v>
      </c>
      <c r="AY62" s="26" t="s">
        <v>199</v>
      </c>
      <c r="AZ62" s="26" t="s">
        <v>200</v>
      </c>
      <c r="BA62" s="10" t="s">
        <v>52</v>
      </c>
      <c r="BC62" s="24">
        <f t="shared" ref="BC62:BC67" si="109">AW62+AX62</f>
        <v>0</v>
      </c>
      <c r="BD62" s="24">
        <f t="shared" ref="BD62:BD67" si="110">G62/(100-BE62)*100</f>
        <v>0</v>
      </c>
      <c r="BE62" s="24">
        <v>0</v>
      </c>
      <c r="BF62" s="24">
        <f>59</f>
        <v>59</v>
      </c>
      <c r="BH62" s="24">
        <f t="shared" ref="BH62:BH67" si="111">F62*AO62</f>
        <v>0</v>
      </c>
      <c r="BI62" s="24">
        <f t="shared" ref="BI62:BI67" si="112">F62*AP62</f>
        <v>0</v>
      </c>
      <c r="BJ62" s="24">
        <f t="shared" ref="BJ62:BJ67" si="113">F62*G62</f>
        <v>0</v>
      </c>
      <c r="BK62" s="26" t="s">
        <v>53</v>
      </c>
      <c r="BL62" s="24">
        <v>712</v>
      </c>
      <c r="BW62" s="24">
        <v>21</v>
      </c>
      <c r="BX62" s="4" t="s">
        <v>198</v>
      </c>
    </row>
    <row r="63" spans="1:76" ht="14.4" x14ac:dyDescent="0.3">
      <c r="A63" s="2" t="s">
        <v>201</v>
      </c>
      <c r="B63" s="3" t="s">
        <v>202</v>
      </c>
      <c r="C63" s="82" t="s">
        <v>203</v>
      </c>
      <c r="D63" s="81"/>
      <c r="E63" s="3" t="s">
        <v>49</v>
      </c>
      <c r="F63" s="24">
        <v>108.6</v>
      </c>
      <c r="G63" s="180">
        <v>0</v>
      </c>
      <c r="H63" s="24">
        <f t="shared" si="92"/>
        <v>0</v>
      </c>
      <c r="I63" s="24">
        <f t="shared" si="93"/>
        <v>0</v>
      </c>
      <c r="J63" s="24">
        <f t="shared" si="94"/>
        <v>0</v>
      </c>
      <c r="K63" s="25"/>
      <c r="Z63" s="24">
        <f t="shared" si="95"/>
        <v>0</v>
      </c>
      <c r="AB63" s="24">
        <f t="shared" si="96"/>
        <v>0</v>
      </c>
      <c r="AC63" s="24">
        <f t="shared" si="97"/>
        <v>0</v>
      </c>
      <c r="AD63" s="24">
        <f t="shared" si="98"/>
        <v>0</v>
      </c>
      <c r="AE63" s="24">
        <f t="shared" si="99"/>
        <v>0</v>
      </c>
      <c r="AF63" s="24">
        <f t="shared" si="100"/>
        <v>0</v>
      </c>
      <c r="AG63" s="24">
        <f t="shared" si="101"/>
        <v>0</v>
      </c>
      <c r="AH63" s="24">
        <f t="shared" si="102"/>
        <v>0</v>
      </c>
      <c r="AI63" s="10" t="s">
        <v>43</v>
      </c>
      <c r="AJ63" s="24">
        <f t="shared" si="103"/>
        <v>0</v>
      </c>
      <c r="AK63" s="24">
        <f t="shared" si="104"/>
        <v>0</v>
      </c>
      <c r="AL63" s="24">
        <f t="shared" si="105"/>
        <v>0</v>
      </c>
      <c r="AN63" s="24">
        <v>21</v>
      </c>
      <c r="AO63" s="24">
        <f>G63*0.484928316</f>
        <v>0</v>
      </c>
      <c r="AP63" s="24">
        <f>G63*(1-0.484928316)</f>
        <v>0</v>
      </c>
      <c r="AQ63" s="26" t="s">
        <v>73</v>
      </c>
      <c r="AV63" s="24">
        <f t="shared" si="106"/>
        <v>0</v>
      </c>
      <c r="AW63" s="24">
        <f t="shared" si="107"/>
        <v>0</v>
      </c>
      <c r="AX63" s="24">
        <f t="shared" si="108"/>
        <v>0</v>
      </c>
      <c r="AY63" s="26" t="s">
        <v>199</v>
      </c>
      <c r="AZ63" s="26" t="s">
        <v>200</v>
      </c>
      <c r="BA63" s="10" t="s">
        <v>52</v>
      </c>
      <c r="BC63" s="24">
        <f t="shared" si="109"/>
        <v>0</v>
      </c>
      <c r="BD63" s="24">
        <f t="shared" si="110"/>
        <v>0</v>
      </c>
      <c r="BE63" s="24">
        <v>0</v>
      </c>
      <c r="BF63" s="24">
        <f>60</f>
        <v>60</v>
      </c>
      <c r="BH63" s="24">
        <f t="shared" si="111"/>
        <v>0</v>
      </c>
      <c r="BI63" s="24">
        <f t="shared" si="112"/>
        <v>0</v>
      </c>
      <c r="BJ63" s="24">
        <f t="shared" si="113"/>
        <v>0</v>
      </c>
      <c r="BK63" s="26" t="s">
        <v>53</v>
      </c>
      <c r="BL63" s="24">
        <v>712</v>
      </c>
      <c r="BW63" s="24">
        <v>21</v>
      </c>
      <c r="BX63" s="4" t="s">
        <v>203</v>
      </c>
    </row>
    <row r="64" spans="1:76" ht="14.4" x14ac:dyDescent="0.3">
      <c r="A64" s="2" t="s">
        <v>116</v>
      </c>
      <c r="B64" s="3" t="s">
        <v>204</v>
      </c>
      <c r="C64" s="82" t="s">
        <v>205</v>
      </c>
      <c r="D64" s="81"/>
      <c r="E64" s="3" t="s">
        <v>174</v>
      </c>
      <c r="F64" s="24">
        <v>340</v>
      </c>
      <c r="G64" s="180">
        <v>0</v>
      </c>
      <c r="H64" s="24">
        <f t="shared" si="92"/>
        <v>0</v>
      </c>
      <c r="I64" s="24">
        <f t="shared" si="93"/>
        <v>0</v>
      </c>
      <c r="J64" s="24">
        <f t="shared" si="94"/>
        <v>0</v>
      </c>
      <c r="K64" s="25"/>
      <c r="Z64" s="24">
        <f t="shared" si="95"/>
        <v>0</v>
      </c>
      <c r="AB64" s="24">
        <f t="shared" si="96"/>
        <v>0</v>
      </c>
      <c r="AC64" s="24">
        <f t="shared" si="97"/>
        <v>0</v>
      </c>
      <c r="AD64" s="24">
        <f t="shared" si="98"/>
        <v>0</v>
      </c>
      <c r="AE64" s="24">
        <f t="shared" si="99"/>
        <v>0</v>
      </c>
      <c r="AF64" s="24">
        <f t="shared" si="100"/>
        <v>0</v>
      </c>
      <c r="AG64" s="24">
        <f t="shared" si="101"/>
        <v>0</v>
      </c>
      <c r="AH64" s="24">
        <f t="shared" si="102"/>
        <v>0</v>
      </c>
      <c r="AI64" s="10" t="s">
        <v>43</v>
      </c>
      <c r="AJ64" s="24">
        <f t="shared" si="103"/>
        <v>0</v>
      </c>
      <c r="AK64" s="24">
        <f t="shared" si="104"/>
        <v>0</v>
      </c>
      <c r="AL64" s="24">
        <f t="shared" si="105"/>
        <v>0</v>
      </c>
      <c r="AN64" s="24">
        <v>21</v>
      </c>
      <c r="AO64" s="24">
        <f>G64*0.5025</f>
        <v>0</v>
      </c>
      <c r="AP64" s="24">
        <f>G64*(1-0.5025)</f>
        <v>0</v>
      </c>
      <c r="AQ64" s="26" t="s">
        <v>73</v>
      </c>
      <c r="AV64" s="24">
        <f t="shared" si="106"/>
        <v>0</v>
      </c>
      <c r="AW64" s="24">
        <f t="shared" si="107"/>
        <v>0</v>
      </c>
      <c r="AX64" s="24">
        <f t="shared" si="108"/>
        <v>0</v>
      </c>
      <c r="AY64" s="26" t="s">
        <v>199</v>
      </c>
      <c r="AZ64" s="26" t="s">
        <v>200</v>
      </c>
      <c r="BA64" s="10" t="s">
        <v>52</v>
      </c>
      <c r="BC64" s="24">
        <f t="shared" si="109"/>
        <v>0</v>
      </c>
      <c r="BD64" s="24">
        <f t="shared" si="110"/>
        <v>0</v>
      </c>
      <c r="BE64" s="24">
        <v>0</v>
      </c>
      <c r="BF64" s="24">
        <f>61</f>
        <v>61</v>
      </c>
      <c r="BH64" s="24">
        <f t="shared" si="111"/>
        <v>0</v>
      </c>
      <c r="BI64" s="24">
        <f t="shared" si="112"/>
        <v>0</v>
      </c>
      <c r="BJ64" s="24">
        <f t="shared" si="113"/>
        <v>0</v>
      </c>
      <c r="BK64" s="26" t="s">
        <v>53</v>
      </c>
      <c r="BL64" s="24">
        <v>712</v>
      </c>
      <c r="BW64" s="24">
        <v>21</v>
      </c>
      <c r="BX64" s="4" t="s">
        <v>205</v>
      </c>
    </row>
    <row r="65" spans="1:76" ht="14.4" x14ac:dyDescent="0.3">
      <c r="A65" s="2" t="s">
        <v>206</v>
      </c>
      <c r="B65" s="3" t="s">
        <v>207</v>
      </c>
      <c r="C65" s="82" t="s">
        <v>1382</v>
      </c>
      <c r="D65" s="81"/>
      <c r="E65" s="3" t="s">
        <v>91</v>
      </c>
      <c r="F65" s="24">
        <v>21</v>
      </c>
      <c r="G65" s="180">
        <v>0</v>
      </c>
      <c r="H65" s="24">
        <f t="shared" si="92"/>
        <v>0</v>
      </c>
      <c r="I65" s="24">
        <f t="shared" si="93"/>
        <v>0</v>
      </c>
      <c r="J65" s="24">
        <f t="shared" si="94"/>
        <v>0</v>
      </c>
      <c r="K65" s="25"/>
      <c r="Z65" s="24">
        <f t="shared" si="95"/>
        <v>0</v>
      </c>
      <c r="AB65" s="24">
        <f t="shared" si="96"/>
        <v>0</v>
      </c>
      <c r="AC65" s="24">
        <f t="shared" si="97"/>
        <v>0</v>
      </c>
      <c r="AD65" s="24">
        <f t="shared" si="98"/>
        <v>0</v>
      </c>
      <c r="AE65" s="24">
        <f t="shared" si="99"/>
        <v>0</v>
      </c>
      <c r="AF65" s="24">
        <f t="shared" si="100"/>
        <v>0</v>
      </c>
      <c r="AG65" s="24">
        <f t="shared" si="101"/>
        <v>0</v>
      </c>
      <c r="AH65" s="24">
        <f t="shared" si="102"/>
        <v>0</v>
      </c>
      <c r="AI65" s="10" t="s">
        <v>43</v>
      </c>
      <c r="AJ65" s="24">
        <f t="shared" si="103"/>
        <v>0</v>
      </c>
      <c r="AK65" s="24">
        <f t="shared" si="104"/>
        <v>0</v>
      </c>
      <c r="AL65" s="24">
        <f t="shared" si="105"/>
        <v>0</v>
      </c>
      <c r="AN65" s="24">
        <v>21</v>
      </c>
      <c r="AO65" s="24">
        <f>G65*0.288309098</f>
        <v>0</v>
      </c>
      <c r="AP65" s="24">
        <f>G65*(1-0.288309098)</f>
        <v>0</v>
      </c>
      <c r="AQ65" s="26" t="s">
        <v>73</v>
      </c>
      <c r="AV65" s="24">
        <f t="shared" si="106"/>
        <v>0</v>
      </c>
      <c r="AW65" s="24">
        <f t="shared" si="107"/>
        <v>0</v>
      </c>
      <c r="AX65" s="24">
        <f t="shared" si="108"/>
        <v>0</v>
      </c>
      <c r="AY65" s="26" t="s">
        <v>199</v>
      </c>
      <c r="AZ65" s="26" t="s">
        <v>200</v>
      </c>
      <c r="BA65" s="10" t="s">
        <v>52</v>
      </c>
      <c r="BC65" s="24">
        <f t="shared" si="109"/>
        <v>0</v>
      </c>
      <c r="BD65" s="24">
        <f t="shared" si="110"/>
        <v>0</v>
      </c>
      <c r="BE65" s="24">
        <v>0</v>
      </c>
      <c r="BF65" s="24">
        <f>62</f>
        <v>62</v>
      </c>
      <c r="BH65" s="24">
        <f t="shared" si="111"/>
        <v>0</v>
      </c>
      <c r="BI65" s="24">
        <f t="shared" si="112"/>
        <v>0</v>
      </c>
      <c r="BJ65" s="24">
        <f t="shared" si="113"/>
        <v>0</v>
      </c>
      <c r="BK65" s="26" t="s">
        <v>53</v>
      </c>
      <c r="BL65" s="24">
        <v>712</v>
      </c>
      <c r="BW65" s="24">
        <v>21</v>
      </c>
      <c r="BX65" s="4" t="s">
        <v>208</v>
      </c>
    </row>
    <row r="66" spans="1:76" ht="26.4" x14ac:dyDescent="0.3">
      <c r="A66" s="2" t="s">
        <v>209</v>
      </c>
      <c r="B66" s="3" t="s">
        <v>210</v>
      </c>
      <c r="C66" s="82" t="s">
        <v>1383</v>
      </c>
      <c r="D66" s="81"/>
      <c r="E66" s="3" t="s">
        <v>91</v>
      </c>
      <c r="F66" s="24">
        <v>18.82</v>
      </c>
      <c r="G66" s="180">
        <v>0</v>
      </c>
      <c r="H66" s="24">
        <f t="shared" si="92"/>
        <v>0</v>
      </c>
      <c r="I66" s="24">
        <f t="shared" si="93"/>
        <v>0</v>
      </c>
      <c r="J66" s="24">
        <f t="shared" si="94"/>
        <v>0</v>
      </c>
      <c r="K66" s="25"/>
      <c r="Z66" s="24">
        <f t="shared" si="95"/>
        <v>0</v>
      </c>
      <c r="AB66" s="24">
        <f t="shared" si="96"/>
        <v>0</v>
      </c>
      <c r="AC66" s="24">
        <f t="shared" si="97"/>
        <v>0</v>
      </c>
      <c r="AD66" s="24">
        <f t="shared" si="98"/>
        <v>0</v>
      </c>
      <c r="AE66" s="24">
        <f t="shared" si="99"/>
        <v>0</v>
      </c>
      <c r="AF66" s="24">
        <f t="shared" si="100"/>
        <v>0</v>
      </c>
      <c r="AG66" s="24">
        <f t="shared" si="101"/>
        <v>0</v>
      </c>
      <c r="AH66" s="24">
        <f t="shared" si="102"/>
        <v>0</v>
      </c>
      <c r="AI66" s="10" t="s">
        <v>43</v>
      </c>
      <c r="AJ66" s="24">
        <f t="shared" si="103"/>
        <v>0</v>
      </c>
      <c r="AK66" s="24">
        <f t="shared" si="104"/>
        <v>0</v>
      </c>
      <c r="AL66" s="24">
        <f t="shared" si="105"/>
        <v>0</v>
      </c>
      <c r="AN66" s="24">
        <v>21</v>
      </c>
      <c r="AO66" s="24">
        <f>G66*0.564581249</f>
        <v>0</v>
      </c>
      <c r="AP66" s="24">
        <f>G66*(1-0.564581249)</f>
        <v>0</v>
      </c>
      <c r="AQ66" s="26" t="s">
        <v>73</v>
      </c>
      <c r="AV66" s="24">
        <f t="shared" si="106"/>
        <v>0</v>
      </c>
      <c r="AW66" s="24">
        <f t="shared" si="107"/>
        <v>0</v>
      </c>
      <c r="AX66" s="24">
        <f t="shared" si="108"/>
        <v>0</v>
      </c>
      <c r="AY66" s="26" t="s">
        <v>199</v>
      </c>
      <c r="AZ66" s="26" t="s">
        <v>200</v>
      </c>
      <c r="BA66" s="10" t="s">
        <v>52</v>
      </c>
      <c r="BC66" s="24">
        <f t="shared" si="109"/>
        <v>0</v>
      </c>
      <c r="BD66" s="24">
        <f t="shared" si="110"/>
        <v>0</v>
      </c>
      <c r="BE66" s="24">
        <v>0</v>
      </c>
      <c r="BF66" s="24">
        <f>63</f>
        <v>63</v>
      </c>
      <c r="BH66" s="24">
        <f t="shared" si="111"/>
        <v>0</v>
      </c>
      <c r="BI66" s="24">
        <f t="shared" si="112"/>
        <v>0</v>
      </c>
      <c r="BJ66" s="24">
        <f t="shared" si="113"/>
        <v>0</v>
      </c>
      <c r="BK66" s="26" t="s">
        <v>53</v>
      </c>
      <c r="BL66" s="24">
        <v>712</v>
      </c>
      <c r="BW66" s="24">
        <v>21</v>
      </c>
      <c r="BX66" s="4" t="s">
        <v>211</v>
      </c>
    </row>
    <row r="67" spans="1:76" ht="14.4" x14ac:dyDescent="0.3">
      <c r="A67" s="2" t="s">
        <v>212</v>
      </c>
      <c r="B67" s="3" t="s">
        <v>213</v>
      </c>
      <c r="C67" s="82" t="s">
        <v>214</v>
      </c>
      <c r="D67" s="81"/>
      <c r="E67" s="3" t="s">
        <v>215</v>
      </c>
      <c r="F67" s="24">
        <v>2002</v>
      </c>
      <c r="G67" s="180">
        <v>0</v>
      </c>
      <c r="H67" s="24">
        <f t="shared" si="92"/>
        <v>0</v>
      </c>
      <c r="I67" s="24">
        <f t="shared" si="93"/>
        <v>0</v>
      </c>
      <c r="J67" s="24">
        <f t="shared" si="94"/>
        <v>0</v>
      </c>
      <c r="K67" s="25"/>
      <c r="Z67" s="24">
        <f t="shared" si="95"/>
        <v>0</v>
      </c>
      <c r="AB67" s="24">
        <f t="shared" si="96"/>
        <v>0</v>
      </c>
      <c r="AC67" s="24">
        <f t="shared" si="97"/>
        <v>0</v>
      </c>
      <c r="AD67" s="24">
        <f t="shared" si="98"/>
        <v>0</v>
      </c>
      <c r="AE67" s="24">
        <f t="shared" si="99"/>
        <v>0</v>
      </c>
      <c r="AF67" s="24">
        <f t="shared" si="100"/>
        <v>0</v>
      </c>
      <c r="AG67" s="24">
        <f t="shared" si="101"/>
        <v>0</v>
      </c>
      <c r="AH67" s="24">
        <f t="shared" si="102"/>
        <v>0</v>
      </c>
      <c r="AI67" s="10" t="s">
        <v>43</v>
      </c>
      <c r="AJ67" s="24">
        <f t="shared" si="103"/>
        <v>0</v>
      </c>
      <c r="AK67" s="24">
        <f t="shared" si="104"/>
        <v>0</v>
      </c>
      <c r="AL67" s="24">
        <f t="shared" si="105"/>
        <v>0</v>
      </c>
      <c r="AN67" s="24">
        <v>21</v>
      </c>
      <c r="AO67" s="24">
        <f>G67*0</f>
        <v>0</v>
      </c>
      <c r="AP67" s="24">
        <f>G67*(1-0)</f>
        <v>0</v>
      </c>
      <c r="AQ67" s="26" t="s">
        <v>64</v>
      </c>
      <c r="AV67" s="24">
        <f t="shared" si="106"/>
        <v>0</v>
      </c>
      <c r="AW67" s="24">
        <f t="shared" si="107"/>
        <v>0</v>
      </c>
      <c r="AX67" s="24">
        <f t="shared" si="108"/>
        <v>0</v>
      </c>
      <c r="AY67" s="26" t="s">
        <v>199</v>
      </c>
      <c r="AZ67" s="26" t="s">
        <v>200</v>
      </c>
      <c r="BA67" s="10" t="s">
        <v>52</v>
      </c>
      <c r="BC67" s="24">
        <f t="shared" si="109"/>
        <v>0</v>
      </c>
      <c r="BD67" s="24">
        <f t="shared" si="110"/>
        <v>0</v>
      </c>
      <c r="BE67" s="24">
        <v>0</v>
      </c>
      <c r="BF67" s="24">
        <f>64</f>
        <v>64</v>
      </c>
      <c r="BH67" s="24">
        <f t="shared" si="111"/>
        <v>0</v>
      </c>
      <c r="BI67" s="24">
        <f t="shared" si="112"/>
        <v>0</v>
      </c>
      <c r="BJ67" s="24">
        <f t="shared" si="113"/>
        <v>0</v>
      </c>
      <c r="BK67" s="26" t="s">
        <v>53</v>
      </c>
      <c r="BL67" s="24">
        <v>712</v>
      </c>
      <c r="BW67" s="24">
        <v>21</v>
      </c>
      <c r="BX67" s="4" t="s">
        <v>214</v>
      </c>
    </row>
    <row r="68" spans="1:76" ht="14.4" x14ac:dyDescent="0.3">
      <c r="A68" s="27" t="s">
        <v>43</v>
      </c>
      <c r="B68" s="28" t="s">
        <v>216</v>
      </c>
      <c r="C68" s="98" t="s">
        <v>217</v>
      </c>
      <c r="D68" s="99"/>
      <c r="E68" s="29" t="s">
        <v>3</v>
      </c>
      <c r="F68" s="29" t="s">
        <v>3</v>
      </c>
      <c r="G68" s="29" t="s">
        <v>3</v>
      </c>
      <c r="H68" s="1">
        <f>ROUND(SUM(H69:H83),2)</f>
        <v>0</v>
      </c>
      <c r="I68" s="1">
        <f>ROUND(SUM(I69:I83),2)</f>
        <v>0</v>
      </c>
      <c r="J68" s="1">
        <f>ROUND(SUM(J69:J83),2)</f>
        <v>0</v>
      </c>
      <c r="K68" s="30"/>
      <c r="AI68" s="10" t="s">
        <v>43</v>
      </c>
      <c r="AS68" s="1">
        <f>SUM(AJ69:AJ83)</f>
        <v>0</v>
      </c>
      <c r="AT68" s="1">
        <f>SUM(AK69:AK83)</f>
        <v>0</v>
      </c>
      <c r="AU68" s="1">
        <f>SUM(AL69:AL83)</f>
        <v>0</v>
      </c>
    </row>
    <row r="69" spans="1:76" ht="14.4" x14ac:dyDescent="0.3">
      <c r="A69" s="2" t="s">
        <v>218</v>
      </c>
      <c r="B69" s="3" t="s">
        <v>219</v>
      </c>
      <c r="C69" s="82" t="s">
        <v>220</v>
      </c>
      <c r="D69" s="81"/>
      <c r="E69" s="3" t="s">
        <v>49</v>
      </c>
      <c r="F69" s="24">
        <v>135</v>
      </c>
      <c r="G69" s="180">
        <v>0</v>
      </c>
      <c r="H69" s="24">
        <f t="shared" ref="H69:H83" si="114">ROUND(F69*AO69,2)</f>
        <v>0</v>
      </c>
      <c r="I69" s="24">
        <f t="shared" ref="I69:I83" si="115">ROUND(F69*AP69,2)</f>
        <v>0</v>
      </c>
      <c r="J69" s="24">
        <f t="shared" ref="J69:J83" si="116">ROUND(F69*G69,2)</f>
        <v>0</v>
      </c>
      <c r="K69" s="25"/>
      <c r="Z69" s="24">
        <f t="shared" ref="Z69:Z83" si="117">ROUND(IF(AQ69="5",BJ69,0),2)</f>
        <v>0</v>
      </c>
      <c r="AB69" s="24">
        <f t="shared" ref="AB69:AB83" si="118">ROUND(IF(AQ69="1",BH69,0),2)</f>
        <v>0</v>
      </c>
      <c r="AC69" s="24">
        <f t="shared" ref="AC69:AC83" si="119">ROUND(IF(AQ69="1",BI69,0),2)</f>
        <v>0</v>
      </c>
      <c r="AD69" s="24">
        <f t="shared" ref="AD69:AD83" si="120">ROUND(IF(AQ69="7",BH69,0),2)</f>
        <v>0</v>
      </c>
      <c r="AE69" s="24">
        <f t="shared" ref="AE69:AE83" si="121">ROUND(IF(AQ69="7",BI69,0),2)</f>
        <v>0</v>
      </c>
      <c r="AF69" s="24">
        <f t="shared" ref="AF69:AF83" si="122">ROUND(IF(AQ69="2",BH69,0),2)</f>
        <v>0</v>
      </c>
      <c r="AG69" s="24">
        <f t="shared" ref="AG69:AG83" si="123">ROUND(IF(AQ69="2",BI69,0),2)</f>
        <v>0</v>
      </c>
      <c r="AH69" s="24">
        <f t="shared" ref="AH69:AH83" si="124">ROUND(IF(AQ69="0",BJ69,0),2)</f>
        <v>0</v>
      </c>
      <c r="AI69" s="10" t="s">
        <v>43</v>
      </c>
      <c r="AJ69" s="24">
        <f t="shared" ref="AJ69:AJ83" si="125">IF(AN69=0,J69,0)</f>
        <v>0</v>
      </c>
      <c r="AK69" s="24">
        <f t="shared" ref="AK69:AK83" si="126">IF(AN69=12,J69,0)</f>
        <v>0</v>
      </c>
      <c r="AL69" s="24">
        <f t="shared" ref="AL69:AL83" si="127">IF(AN69=21,J69,0)</f>
        <v>0</v>
      </c>
      <c r="AN69" s="24">
        <v>21</v>
      </c>
      <c r="AO69" s="24">
        <f>G69*0.30704607</f>
        <v>0</v>
      </c>
      <c r="AP69" s="24">
        <f>G69*(1-0.30704607)</f>
        <v>0</v>
      </c>
      <c r="AQ69" s="26" t="s">
        <v>73</v>
      </c>
      <c r="AV69" s="24">
        <f t="shared" ref="AV69:AV83" si="128">ROUND(AW69+AX69,2)</f>
        <v>0</v>
      </c>
      <c r="AW69" s="24">
        <f t="shared" ref="AW69:AW83" si="129">ROUND(F69*AO69,2)</f>
        <v>0</v>
      </c>
      <c r="AX69" s="24">
        <f t="shared" ref="AX69:AX83" si="130">ROUND(F69*AP69,2)</f>
        <v>0</v>
      </c>
      <c r="AY69" s="26" t="s">
        <v>221</v>
      </c>
      <c r="AZ69" s="26" t="s">
        <v>200</v>
      </c>
      <c r="BA69" s="10" t="s">
        <v>52</v>
      </c>
      <c r="BC69" s="24">
        <f t="shared" ref="BC69:BC83" si="131">AW69+AX69</f>
        <v>0</v>
      </c>
      <c r="BD69" s="24">
        <f t="shared" ref="BD69:BD83" si="132">G69/(100-BE69)*100</f>
        <v>0</v>
      </c>
      <c r="BE69" s="24">
        <v>0</v>
      </c>
      <c r="BF69" s="24">
        <f>66</f>
        <v>66</v>
      </c>
      <c r="BH69" s="24">
        <f t="shared" ref="BH69:BH83" si="133">F69*AO69</f>
        <v>0</v>
      </c>
      <c r="BI69" s="24">
        <f t="shared" ref="BI69:BI83" si="134">F69*AP69</f>
        <v>0</v>
      </c>
      <c r="BJ69" s="24">
        <f t="shared" ref="BJ69:BJ83" si="135">F69*G69</f>
        <v>0</v>
      </c>
      <c r="BK69" s="26" t="s">
        <v>53</v>
      </c>
      <c r="BL69" s="24">
        <v>713</v>
      </c>
      <c r="BW69" s="24">
        <v>21</v>
      </c>
      <c r="BX69" s="4" t="s">
        <v>220</v>
      </c>
    </row>
    <row r="70" spans="1:76" ht="14.4" x14ac:dyDescent="0.3">
      <c r="A70" s="2" t="s">
        <v>222</v>
      </c>
      <c r="B70" s="3" t="s">
        <v>223</v>
      </c>
      <c r="C70" s="82" t="s">
        <v>224</v>
      </c>
      <c r="D70" s="81"/>
      <c r="E70" s="3" t="s">
        <v>49</v>
      </c>
      <c r="F70" s="24">
        <v>135</v>
      </c>
      <c r="G70" s="180">
        <v>0</v>
      </c>
      <c r="H70" s="24">
        <f t="shared" si="114"/>
        <v>0</v>
      </c>
      <c r="I70" s="24">
        <f t="shared" si="115"/>
        <v>0</v>
      </c>
      <c r="J70" s="24">
        <f t="shared" si="116"/>
        <v>0</v>
      </c>
      <c r="K70" s="25"/>
      <c r="Z70" s="24">
        <f t="shared" si="117"/>
        <v>0</v>
      </c>
      <c r="AB70" s="24">
        <f t="shared" si="118"/>
        <v>0</v>
      </c>
      <c r="AC70" s="24">
        <f t="shared" si="119"/>
        <v>0</v>
      </c>
      <c r="AD70" s="24">
        <f t="shared" si="120"/>
        <v>0</v>
      </c>
      <c r="AE70" s="24">
        <f t="shared" si="121"/>
        <v>0</v>
      </c>
      <c r="AF70" s="24">
        <f t="shared" si="122"/>
        <v>0</v>
      </c>
      <c r="AG70" s="24">
        <f t="shared" si="123"/>
        <v>0</v>
      </c>
      <c r="AH70" s="24">
        <f t="shared" si="124"/>
        <v>0</v>
      </c>
      <c r="AI70" s="10" t="s">
        <v>43</v>
      </c>
      <c r="AJ70" s="24">
        <f t="shared" si="125"/>
        <v>0</v>
      </c>
      <c r="AK70" s="24">
        <f t="shared" si="126"/>
        <v>0</v>
      </c>
      <c r="AL70" s="24">
        <f t="shared" si="127"/>
        <v>0</v>
      </c>
      <c r="AN70" s="24">
        <v>21</v>
      </c>
      <c r="AO70" s="24">
        <f>G70*0.189968652</f>
        <v>0</v>
      </c>
      <c r="AP70" s="24">
        <f>G70*(1-0.189968652)</f>
        <v>0</v>
      </c>
      <c r="AQ70" s="26" t="s">
        <v>73</v>
      </c>
      <c r="AV70" s="24">
        <f t="shared" si="128"/>
        <v>0</v>
      </c>
      <c r="AW70" s="24">
        <f t="shared" si="129"/>
        <v>0</v>
      </c>
      <c r="AX70" s="24">
        <f t="shared" si="130"/>
        <v>0</v>
      </c>
      <c r="AY70" s="26" t="s">
        <v>221</v>
      </c>
      <c r="AZ70" s="26" t="s">
        <v>200</v>
      </c>
      <c r="BA70" s="10" t="s">
        <v>52</v>
      </c>
      <c r="BC70" s="24">
        <f t="shared" si="131"/>
        <v>0</v>
      </c>
      <c r="BD70" s="24">
        <f t="shared" si="132"/>
        <v>0</v>
      </c>
      <c r="BE70" s="24">
        <v>0</v>
      </c>
      <c r="BF70" s="24">
        <f>67</f>
        <v>67</v>
      </c>
      <c r="BH70" s="24">
        <f t="shared" si="133"/>
        <v>0</v>
      </c>
      <c r="BI70" s="24">
        <f t="shared" si="134"/>
        <v>0</v>
      </c>
      <c r="BJ70" s="24">
        <f t="shared" si="135"/>
        <v>0</v>
      </c>
      <c r="BK70" s="26" t="s">
        <v>53</v>
      </c>
      <c r="BL70" s="24">
        <v>713</v>
      </c>
      <c r="BW70" s="24">
        <v>21</v>
      </c>
      <c r="BX70" s="4" t="s">
        <v>224</v>
      </c>
    </row>
    <row r="71" spans="1:76" ht="14.4" x14ac:dyDescent="0.3">
      <c r="A71" s="2" t="s">
        <v>225</v>
      </c>
      <c r="B71" s="3" t="s">
        <v>226</v>
      </c>
      <c r="C71" s="82" t="s">
        <v>227</v>
      </c>
      <c r="D71" s="81"/>
      <c r="E71" s="3" t="s">
        <v>49</v>
      </c>
      <c r="F71" s="24">
        <v>133.80000000000001</v>
      </c>
      <c r="G71" s="180">
        <v>0</v>
      </c>
      <c r="H71" s="24">
        <f t="shared" si="114"/>
        <v>0</v>
      </c>
      <c r="I71" s="24">
        <f t="shared" si="115"/>
        <v>0</v>
      </c>
      <c r="J71" s="24">
        <f t="shared" si="116"/>
        <v>0</v>
      </c>
      <c r="K71" s="25"/>
      <c r="Z71" s="24">
        <f t="shared" si="117"/>
        <v>0</v>
      </c>
      <c r="AB71" s="24">
        <f t="shared" si="118"/>
        <v>0</v>
      </c>
      <c r="AC71" s="24">
        <f t="shared" si="119"/>
        <v>0</v>
      </c>
      <c r="AD71" s="24">
        <f t="shared" si="120"/>
        <v>0</v>
      </c>
      <c r="AE71" s="24">
        <f t="shared" si="121"/>
        <v>0</v>
      </c>
      <c r="AF71" s="24">
        <f t="shared" si="122"/>
        <v>0</v>
      </c>
      <c r="AG71" s="24">
        <f t="shared" si="123"/>
        <v>0</v>
      </c>
      <c r="AH71" s="24">
        <f t="shared" si="124"/>
        <v>0</v>
      </c>
      <c r="AI71" s="10" t="s">
        <v>43</v>
      </c>
      <c r="AJ71" s="24">
        <f t="shared" si="125"/>
        <v>0</v>
      </c>
      <c r="AK71" s="24">
        <f t="shared" si="126"/>
        <v>0</v>
      </c>
      <c r="AL71" s="24">
        <f t="shared" si="127"/>
        <v>0</v>
      </c>
      <c r="AN71" s="24">
        <v>21</v>
      </c>
      <c r="AO71" s="24">
        <f>G71*0.670276119</f>
        <v>0</v>
      </c>
      <c r="AP71" s="24">
        <f>G71*(1-0.670276119)</f>
        <v>0</v>
      </c>
      <c r="AQ71" s="26" t="s">
        <v>73</v>
      </c>
      <c r="AV71" s="24">
        <f t="shared" si="128"/>
        <v>0</v>
      </c>
      <c r="AW71" s="24">
        <f t="shared" si="129"/>
        <v>0</v>
      </c>
      <c r="AX71" s="24">
        <f t="shared" si="130"/>
        <v>0</v>
      </c>
      <c r="AY71" s="26" t="s">
        <v>221</v>
      </c>
      <c r="AZ71" s="26" t="s">
        <v>200</v>
      </c>
      <c r="BA71" s="10" t="s">
        <v>52</v>
      </c>
      <c r="BC71" s="24">
        <f t="shared" si="131"/>
        <v>0</v>
      </c>
      <c r="BD71" s="24">
        <f t="shared" si="132"/>
        <v>0</v>
      </c>
      <c r="BE71" s="24">
        <v>0</v>
      </c>
      <c r="BF71" s="24">
        <f>68</f>
        <v>68</v>
      </c>
      <c r="BH71" s="24">
        <f t="shared" si="133"/>
        <v>0</v>
      </c>
      <c r="BI71" s="24">
        <f t="shared" si="134"/>
        <v>0</v>
      </c>
      <c r="BJ71" s="24">
        <f t="shared" si="135"/>
        <v>0</v>
      </c>
      <c r="BK71" s="26" t="s">
        <v>53</v>
      </c>
      <c r="BL71" s="24">
        <v>713</v>
      </c>
      <c r="BW71" s="24">
        <v>21</v>
      </c>
      <c r="BX71" s="4" t="s">
        <v>227</v>
      </c>
    </row>
    <row r="72" spans="1:76" ht="14.4" x14ac:dyDescent="0.3">
      <c r="A72" s="2" t="s">
        <v>228</v>
      </c>
      <c r="B72" s="3" t="s">
        <v>229</v>
      </c>
      <c r="C72" s="82" t="s">
        <v>230</v>
      </c>
      <c r="D72" s="81"/>
      <c r="E72" s="3" t="s">
        <v>49</v>
      </c>
      <c r="F72" s="24">
        <v>108.6</v>
      </c>
      <c r="G72" s="180">
        <v>0</v>
      </c>
      <c r="H72" s="24">
        <f t="shared" si="114"/>
        <v>0</v>
      </c>
      <c r="I72" s="24">
        <f t="shared" si="115"/>
        <v>0</v>
      </c>
      <c r="J72" s="24">
        <f t="shared" si="116"/>
        <v>0</v>
      </c>
      <c r="K72" s="25"/>
      <c r="Z72" s="24">
        <f t="shared" si="117"/>
        <v>0</v>
      </c>
      <c r="AB72" s="24">
        <f t="shared" si="118"/>
        <v>0</v>
      </c>
      <c r="AC72" s="24">
        <f t="shared" si="119"/>
        <v>0</v>
      </c>
      <c r="AD72" s="24">
        <f t="shared" si="120"/>
        <v>0</v>
      </c>
      <c r="AE72" s="24">
        <f t="shared" si="121"/>
        <v>0</v>
      </c>
      <c r="AF72" s="24">
        <f t="shared" si="122"/>
        <v>0</v>
      </c>
      <c r="AG72" s="24">
        <f t="shared" si="123"/>
        <v>0</v>
      </c>
      <c r="AH72" s="24">
        <f t="shared" si="124"/>
        <v>0</v>
      </c>
      <c r="AI72" s="10" t="s">
        <v>43</v>
      </c>
      <c r="AJ72" s="24">
        <f t="shared" si="125"/>
        <v>0</v>
      </c>
      <c r="AK72" s="24">
        <f t="shared" si="126"/>
        <v>0</v>
      </c>
      <c r="AL72" s="24">
        <f t="shared" si="127"/>
        <v>0</v>
      </c>
      <c r="AN72" s="24">
        <v>21</v>
      </c>
      <c r="AO72" s="24">
        <f>G72*0.202206261</f>
        <v>0</v>
      </c>
      <c r="AP72" s="24">
        <f>G72*(1-0.202206261)</f>
        <v>0</v>
      </c>
      <c r="AQ72" s="26" t="s">
        <v>73</v>
      </c>
      <c r="AV72" s="24">
        <f t="shared" si="128"/>
        <v>0</v>
      </c>
      <c r="AW72" s="24">
        <f t="shared" si="129"/>
        <v>0</v>
      </c>
      <c r="AX72" s="24">
        <f t="shared" si="130"/>
        <v>0</v>
      </c>
      <c r="AY72" s="26" t="s">
        <v>221</v>
      </c>
      <c r="AZ72" s="26" t="s">
        <v>200</v>
      </c>
      <c r="BA72" s="10" t="s">
        <v>52</v>
      </c>
      <c r="BC72" s="24">
        <f t="shared" si="131"/>
        <v>0</v>
      </c>
      <c r="BD72" s="24">
        <f t="shared" si="132"/>
        <v>0</v>
      </c>
      <c r="BE72" s="24">
        <v>0</v>
      </c>
      <c r="BF72" s="24">
        <f>69</f>
        <v>69</v>
      </c>
      <c r="BH72" s="24">
        <f t="shared" si="133"/>
        <v>0</v>
      </c>
      <c r="BI72" s="24">
        <f t="shared" si="134"/>
        <v>0</v>
      </c>
      <c r="BJ72" s="24">
        <f t="shared" si="135"/>
        <v>0</v>
      </c>
      <c r="BK72" s="26" t="s">
        <v>53</v>
      </c>
      <c r="BL72" s="24">
        <v>713</v>
      </c>
      <c r="BW72" s="24">
        <v>21</v>
      </c>
      <c r="BX72" s="4" t="s">
        <v>230</v>
      </c>
    </row>
    <row r="73" spans="1:76" ht="14.4" x14ac:dyDescent="0.3">
      <c r="A73" s="2" t="s">
        <v>231</v>
      </c>
      <c r="B73" s="3" t="s">
        <v>232</v>
      </c>
      <c r="C73" s="82" t="s">
        <v>233</v>
      </c>
      <c r="D73" s="81"/>
      <c r="E73" s="3" t="s">
        <v>49</v>
      </c>
      <c r="F73" s="24">
        <v>108.6</v>
      </c>
      <c r="G73" s="180">
        <v>0</v>
      </c>
      <c r="H73" s="24">
        <f t="shared" si="114"/>
        <v>0</v>
      </c>
      <c r="I73" s="24">
        <f t="shared" si="115"/>
        <v>0</v>
      </c>
      <c r="J73" s="24">
        <f t="shared" si="116"/>
        <v>0</v>
      </c>
      <c r="K73" s="25"/>
      <c r="Z73" s="24">
        <f t="shared" si="117"/>
        <v>0</v>
      </c>
      <c r="AB73" s="24">
        <f t="shared" si="118"/>
        <v>0</v>
      </c>
      <c r="AC73" s="24">
        <f t="shared" si="119"/>
        <v>0</v>
      </c>
      <c r="AD73" s="24">
        <f t="shared" si="120"/>
        <v>0</v>
      </c>
      <c r="AE73" s="24">
        <f t="shared" si="121"/>
        <v>0</v>
      </c>
      <c r="AF73" s="24">
        <f t="shared" si="122"/>
        <v>0</v>
      </c>
      <c r="AG73" s="24">
        <f t="shared" si="123"/>
        <v>0</v>
      </c>
      <c r="AH73" s="24">
        <f t="shared" si="124"/>
        <v>0</v>
      </c>
      <c r="AI73" s="10" t="s">
        <v>43</v>
      </c>
      <c r="AJ73" s="24">
        <f t="shared" si="125"/>
        <v>0</v>
      </c>
      <c r="AK73" s="24">
        <f t="shared" si="126"/>
        <v>0</v>
      </c>
      <c r="AL73" s="24">
        <f t="shared" si="127"/>
        <v>0</v>
      </c>
      <c r="AN73" s="24">
        <v>21</v>
      </c>
      <c r="AO73" s="24">
        <f>G73*0</f>
        <v>0</v>
      </c>
      <c r="AP73" s="24">
        <f>G73*(1-0)</f>
        <v>0</v>
      </c>
      <c r="AQ73" s="26" t="s">
        <v>73</v>
      </c>
      <c r="AV73" s="24">
        <f t="shared" si="128"/>
        <v>0</v>
      </c>
      <c r="AW73" s="24">
        <f t="shared" si="129"/>
        <v>0</v>
      </c>
      <c r="AX73" s="24">
        <f t="shared" si="130"/>
        <v>0</v>
      </c>
      <c r="AY73" s="26" t="s">
        <v>221</v>
      </c>
      <c r="AZ73" s="26" t="s">
        <v>200</v>
      </c>
      <c r="BA73" s="10" t="s">
        <v>52</v>
      </c>
      <c r="BC73" s="24">
        <f t="shared" si="131"/>
        <v>0</v>
      </c>
      <c r="BD73" s="24">
        <f t="shared" si="132"/>
        <v>0</v>
      </c>
      <c r="BE73" s="24">
        <v>0</v>
      </c>
      <c r="BF73" s="24">
        <f>70</f>
        <v>70</v>
      </c>
      <c r="BH73" s="24">
        <f t="shared" si="133"/>
        <v>0</v>
      </c>
      <c r="BI73" s="24">
        <f t="shared" si="134"/>
        <v>0</v>
      </c>
      <c r="BJ73" s="24">
        <f t="shared" si="135"/>
        <v>0</v>
      </c>
      <c r="BK73" s="26" t="s">
        <v>53</v>
      </c>
      <c r="BL73" s="24">
        <v>713</v>
      </c>
      <c r="BW73" s="24">
        <v>21</v>
      </c>
      <c r="BX73" s="4" t="s">
        <v>233</v>
      </c>
    </row>
    <row r="74" spans="1:76" ht="14.4" x14ac:dyDescent="0.3">
      <c r="A74" s="2" t="s">
        <v>234</v>
      </c>
      <c r="B74" s="3" t="s">
        <v>235</v>
      </c>
      <c r="C74" s="82" t="s">
        <v>1384</v>
      </c>
      <c r="D74" s="81"/>
      <c r="E74" s="3" t="s">
        <v>49</v>
      </c>
      <c r="F74" s="24">
        <v>220</v>
      </c>
      <c r="G74" s="180">
        <v>0</v>
      </c>
      <c r="H74" s="24">
        <f t="shared" si="114"/>
        <v>0</v>
      </c>
      <c r="I74" s="24">
        <f t="shared" si="115"/>
        <v>0</v>
      </c>
      <c r="J74" s="24">
        <f t="shared" si="116"/>
        <v>0</v>
      </c>
      <c r="K74" s="25"/>
      <c r="Z74" s="24">
        <f t="shared" si="117"/>
        <v>0</v>
      </c>
      <c r="AB74" s="24">
        <f t="shared" si="118"/>
        <v>0</v>
      </c>
      <c r="AC74" s="24">
        <f t="shared" si="119"/>
        <v>0</v>
      </c>
      <c r="AD74" s="24">
        <f t="shared" si="120"/>
        <v>0</v>
      </c>
      <c r="AE74" s="24">
        <f t="shared" si="121"/>
        <v>0</v>
      </c>
      <c r="AF74" s="24">
        <f t="shared" si="122"/>
        <v>0</v>
      </c>
      <c r="AG74" s="24">
        <f t="shared" si="123"/>
        <v>0</v>
      </c>
      <c r="AH74" s="24">
        <f t="shared" si="124"/>
        <v>0</v>
      </c>
      <c r="AI74" s="10" t="s">
        <v>43</v>
      </c>
      <c r="AJ74" s="24">
        <f t="shared" si="125"/>
        <v>0</v>
      </c>
      <c r="AK74" s="24">
        <f t="shared" si="126"/>
        <v>0</v>
      </c>
      <c r="AL74" s="24">
        <f t="shared" si="127"/>
        <v>0</v>
      </c>
      <c r="AN74" s="24">
        <v>21</v>
      </c>
      <c r="AO74" s="24">
        <f>G74*1</f>
        <v>0</v>
      </c>
      <c r="AP74" s="24">
        <f>G74*(1-1)</f>
        <v>0</v>
      </c>
      <c r="AQ74" s="26" t="s">
        <v>73</v>
      </c>
      <c r="AV74" s="24">
        <f t="shared" si="128"/>
        <v>0</v>
      </c>
      <c r="AW74" s="24">
        <f t="shared" si="129"/>
        <v>0</v>
      </c>
      <c r="AX74" s="24">
        <f t="shared" si="130"/>
        <v>0</v>
      </c>
      <c r="AY74" s="26" t="s">
        <v>221</v>
      </c>
      <c r="AZ74" s="26" t="s">
        <v>200</v>
      </c>
      <c r="BA74" s="10" t="s">
        <v>52</v>
      </c>
      <c r="BC74" s="24">
        <f t="shared" si="131"/>
        <v>0</v>
      </c>
      <c r="BD74" s="24">
        <f t="shared" si="132"/>
        <v>0</v>
      </c>
      <c r="BE74" s="24">
        <v>0</v>
      </c>
      <c r="BF74" s="24">
        <f>71</f>
        <v>71</v>
      </c>
      <c r="BH74" s="24">
        <f t="shared" si="133"/>
        <v>0</v>
      </c>
      <c r="BI74" s="24">
        <f t="shared" si="134"/>
        <v>0</v>
      </c>
      <c r="BJ74" s="24">
        <f t="shared" si="135"/>
        <v>0</v>
      </c>
      <c r="BK74" s="26" t="s">
        <v>103</v>
      </c>
      <c r="BL74" s="24">
        <v>713</v>
      </c>
      <c r="BW74" s="24">
        <v>21</v>
      </c>
      <c r="BX74" s="4" t="s">
        <v>236</v>
      </c>
    </row>
    <row r="75" spans="1:76" ht="14.4" x14ac:dyDescent="0.3">
      <c r="A75" s="2" t="s">
        <v>237</v>
      </c>
      <c r="B75" s="3" t="s">
        <v>238</v>
      </c>
      <c r="C75" s="82" t="s">
        <v>239</v>
      </c>
      <c r="D75" s="81"/>
      <c r="E75" s="3" t="s">
        <v>49</v>
      </c>
      <c r="F75" s="24">
        <v>108.6</v>
      </c>
      <c r="G75" s="180">
        <v>0</v>
      </c>
      <c r="H75" s="24">
        <f t="shared" si="114"/>
        <v>0</v>
      </c>
      <c r="I75" s="24">
        <f t="shared" si="115"/>
        <v>0</v>
      </c>
      <c r="J75" s="24">
        <f t="shared" si="116"/>
        <v>0</v>
      </c>
      <c r="K75" s="25"/>
      <c r="Z75" s="24">
        <f t="shared" si="117"/>
        <v>0</v>
      </c>
      <c r="AB75" s="24">
        <f t="shared" si="118"/>
        <v>0</v>
      </c>
      <c r="AC75" s="24">
        <f t="shared" si="119"/>
        <v>0</v>
      </c>
      <c r="AD75" s="24">
        <f t="shared" si="120"/>
        <v>0</v>
      </c>
      <c r="AE75" s="24">
        <f t="shared" si="121"/>
        <v>0</v>
      </c>
      <c r="AF75" s="24">
        <f t="shared" si="122"/>
        <v>0</v>
      </c>
      <c r="AG75" s="24">
        <f t="shared" si="123"/>
        <v>0</v>
      </c>
      <c r="AH75" s="24">
        <f t="shared" si="124"/>
        <v>0</v>
      </c>
      <c r="AI75" s="10" t="s">
        <v>43</v>
      </c>
      <c r="AJ75" s="24">
        <f t="shared" si="125"/>
        <v>0</v>
      </c>
      <c r="AK75" s="24">
        <f t="shared" si="126"/>
        <v>0</v>
      </c>
      <c r="AL75" s="24">
        <f t="shared" si="127"/>
        <v>0</v>
      </c>
      <c r="AN75" s="24">
        <v>21</v>
      </c>
      <c r="AO75" s="24">
        <f>G75*0.19925708</f>
        <v>0</v>
      </c>
      <c r="AP75" s="24">
        <f>G75*(1-0.19925708)</f>
        <v>0</v>
      </c>
      <c r="AQ75" s="26" t="s">
        <v>73</v>
      </c>
      <c r="AV75" s="24">
        <f t="shared" si="128"/>
        <v>0</v>
      </c>
      <c r="AW75" s="24">
        <f t="shared" si="129"/>
        <v>0</v>
      </c>
      <c r="AX75" s="24">
        <f t="shared" si="130"/>
        <v>0</v>
      </c>
      <c r="AY75" s="26" t="s">
        <v>221</v>
      </c>
      <c r="AZ75" s="26" t="s">
        <v>200</v>
      </c>
      <c r="BA75" s="10" t="s">
        <v>52</v>
      </c>
      <c r="BC75" s="24">
        <f t="shared" si="131"/>
        <v>0</v>
      </c>
      <c r="BD75" s="24">
        <f t="shared" si="132"/>
        <v>0</v>
      </c>
      <c r="BE75" s="24">
        <v>0</v>
      </c>
      <c r="BF75" s="24">
        <f>72</f>
        <v>72</v>
      </c>
      <c r="BH75" s="24">
        <f t="shared" si="133"/>
        <v>0</v>
      </c>
      <c r="BI75" s="24">
        <f t="shared" si="134"/>
        <v>0</v>
      </c>
      <c r="BJ75" s="24">
        <f t="shared" si="135"/>
        <v>0</v>
      </c>
      <c r="BK75" s="26" t="s">
        <v>53</v>
      </c>
      <c r="BL75" s="24">
        <v>713</v>
      </c>
      <c r="BW75" s="24">
        <v>21</v>
      </c>
      <c r="BX75" s="4" t="s">
        <v>239</v>
      </c>
    </row>
    <row r="76" spans="1:76" ht="14.4" x14ac:dyDescent="0.3">
      <c r="A76" s="2" t="s">
        <v>240</v>
      </c>
      <c r="B76" s="3" t="s">
        <v>241</v>
      </c>
      <c r="C76" s="82" t="s">
        <v>242</v>
      </c>
      <c r="D76" s="81"/>
      <c r="E76" s="3" t="s">
        <v>147</v>
      </c>
      <c r="F76" s="24">
        <v>21.177</v>
      </c>
      <c r="G76" s="180">
        <v>0</v>
      </c>
      <c r="H76" s="24">
        <f t="shared" si="114"/>
        <v>0</v>
      </c>
      <c r="I76" s="24">
        <f t="shared" si="115"/>
        <v>0</v>
      </c>
      <c r="J76" s="24">
        <f t="shared" si="116"/>
        <v>0</v>
      </c>
      <c r="K76" s="25"/>
      <c r="Z76" s="24">
        <f t="shared" si="117"/>
        <v>0</v>
      </c>
      <c r="AB76" s="24">
        <f t="shared" si="118"/>
        <v>0</v>
      </c>
      <c r="AC76" s="24">
        <f t="shared" si="119"/>
        <v>0</v>
      </c>
      <c r="AD76" s="24">
        <f t="shared" si="120"/>
        <v>0</v>
      </c>
      <c r="AE76" s="24">
        <f t="shared" si="121"/>
        <v>0</v>
      </c>
      <c r="AF76" s="24">
        <f t="shared" si="122"/>
        <v>0</v>
      </c>
      <c r="AG76" s="24">
        <f t="shared" si="123"/>
        <v>0</v>
      </c>
      <c r="AH76" s="24">
        <f t="shared" si="124"/>
        <v>0</v>
      </c>
      <c r="AI76" s="10" t="s">
        <v>43</v>
      </c>
      <c r="AJ76" s="24">
        <f t="shared" si="125"/>
        <v>0</v>
      </c>
      <c r="AK76" s="24">
        <f t="shared" si="126"/>
        <v>0</v>
      </c>
      <c r="AL76" s="24">
        <f t="shared" si="127"/>
        <v>0</v>
      </c>
      <c r="AN76" s="24">
        <v>21</v>
      </c>
      <c r="AO76" s="24">
        <f>G76*1</f>
        <v>0</v>
      </c>
      <c r="AP76" s="24">
        <f>G76*(1-1)</f>
        <v>0</v>
      </c>
      <c r="AQ76" s="26" t="s">
        <v>73</v>
      </c>
      <c r="AV76" s="24">
        <f t="shared" si="128"/>
        <v>0</v>
      </c>
      <c r="AW76" s="24">
        <f t="shared" si="129"/>
        <v>0</v>
      </c>
      <c r="AX76" s="24">
        <f t="shared" si="130"/>
        <v>0</v>
      </c>
      <c r="AY76" s="26" t="s">
        <v>221</v>
      </c>
      <c r="AZ76" s="26" t="s">
        <v>200</v>
      </c>
      <c r="BA76" s="10" t="s">
        <v>52</v>
      </c>
      <c r="BC76" s="24">
        <f t="shared" si="131"/>
        <v>0</v>
      </c>
      <c r="BD76" s="24">
        <f t="shared" si="132"/>
        <v>0</v>
      </c>
      <c r="BE76" s="24">
        <v>0</v>
      </c>
      <c r="BF76" s="24">
        <f>73</f>
        <v>73</v>
      </c>
      <c r="BH76" s="24">
        <f t="shared" si="133"/>
        <v>0</v>
      </c>
      <c r="BI76" s="24">
        <f t="shared" si="134"/>
        <v>0</v>
      </c>
      <c r="BJ76" s="24">
        <f t="shared" si="135"/>
        <v>0</v>
      </c>
      <c r="BK76" s="26" t="s">
        <v>103</v>
      </c>
      <c r="BL76" s="24">
        <v>713</v>
      </c>
      <c r="BW76" s="24">
        <v>21</v>
      </c>
      <c r="BX76" s="4" t="s">
        <v>242</v>
      </c>
    </row>
    <row r="77" spans="1:76" ht="14.4" x14ac:dyDescent="0.3">
      <c r="A77" s="2" t="s">
        <v>243</v>
      </c>
      <c r="B77" s="3" t="s">
        <v>244</v>
      </c>
      <c r="C77" s="82" t="s">
        <v>1385</v>
      </c>
      <c r="D77" s="81"/>
      <c r="E77" s="3" t="s">
        <v>49</v>
      </c>
      <c r="F77" s="24">
        <v>328.23676</v>
      </c>
      <c r="G77" s="180">
        <v>0</v>
      </c>
      <c r="H77" s="24">
        <f t="shared" si="114"/>
        <v>0</v>
      </c>
      <c r="I77" s="24">
        <f t="shared" si="115"/>
        <v>0</v>
      </c>
      <c r="J77" s="24">
        <f t="shared" si="116"/>
        <v>0</v>
      </c>
      <c r="K77" s="25"/>
      <c r="Z77" s="24">
        <f t="shared" si="117"/>
        <v>0</v>
      </c>
      <c r="AB77" s="24">
        <f t="shared" si="118"/>
        <v>0</v>
      </c>
      <c r="AC77" s="24">
        <f t="shared" si="119"/>
        <v>0</v>
      </c>
      <c r="AD77" s="24">
        <f t="shared" si="120"/>
        <v>0</v>
      </c>
      <c r="AE77" s="24">
        <f t="shared" si="121"/>
        <v>0</v>
      </c>
      <c r="AF77" s="24">
        <f t="shared" si="122"/>
        <v>0</v>
      </c>
      <c r="AG77" s="24">
        <f t="shared" si="123"/>
        <v>0</v>
      </c>
      <c r="AH77" s="24">
        <f t="shared" si="124"/>
        <v>0</v>
      </c>
      <c r="AI77" s="10" t="s">
        <v>43</v>
      </c>
      <c r="AJ77" s="24">
        <f t="shared" si="125"/>
        <v>0</v>
      </c>
      <c r="AK77" s="24">
        <f t="shared" si="126"/>
        <v>0</v>
      </c>
      <c r="AL77" s="24">
        <f t="shared" si="127"/>
        <v>0</v>
      </c>
      <c r="AN77" s="24">
        <v>21</v>
      </c>
      <c r="AO77" s="24">
        <f>G77*0.423804887</f>
        <v>0</v>
      </c>
      <c r="AP77" s="24">
        <f>G77*(1-0.423804887)</f>
        <v>0</v>
      </c>
      <c r="AQ77" s="26" t="s">
        <v>73</v>
      </c>
      <c r="AV77" s="24">
        <f t="shared" si="128"/>
        <v>0</v>
      </c>
      <c r="AW77" s="24">
        <f t="shared" si="129"/>
        <v>0</v>
      </c>
      <c r="AX77" s="24">
        <f t="shared" si="130"/>
        <v>0</v>
      </c>
      <c r="AY77" s="26" t="s">
        <v>221</v>
      </c>
      <c r="AZ77" s="26" t="s">
        <v>200</v>
      </c>
      <c r="BA77" s="10" t="s">
        <v>52</v>
      </c>
      <c r="BC77" s="24">
        <f t="shared" si="131"/>
        <v>0</v>
      </c>
      <c r="BD77" s="24">
        <f t="shared" si="132"/>
        <v>0</v>
      </c>
      <c r="BE77" s="24">
        <v>0</v>
      </c>
      <c r="BF77" s="24">
        <f>74</f>
        <v>74</v>
      </c>
      <c r="BH77" s="24">
        <f t="shared" si="133"/>
        <v>0</v>
      </c>
      <c r="BI77" s="24">
        <f t="shared" si="134"/>
        <v>0</v>
      </c>
      <c r="BJ77" s="24">
        <f t="shared" si="135"/>
        <v>0</v>
      </c>
      <c r="BK77" s="26" t="s">
        <v>53</v>
      </c>
      <c r="BL77" s="24">
        <v>713</v>
      </c>
      <c r="BW77" s="24">
        <v>21</v>
      </c>
      <c r="BX77" s="4" t="s">
        <v>245</v>
      </c>
    </row>
    <row r="78" spans="1:76" ht="14.4" x14ac:dyDescent="0.3">
      <c r="A78" s="2" t="s">
        <v>246</v>
      </c>
      <c r="B78" s="3" t="s">
        <v>247</v>
      </c>
      <c r="C78" s="82" t="s">
        <v>1386</v>
      </c>
      <c r="D78" s="81"/>
      <c r="E78" s="3" t="s">
        <v>49</v>
      </c>
      <c r="F78" s="24">
        <v>5.23</v>
      </c>
      <c r="G78" s="180">
        <v>0</v>
      </c>
      <c r="H78" s="24">
        <f t="shared" si="114"/>
        <v>0</v>
      </c>
      <c r="I78" s="24">
        <f t="shared" si="115"/>
        <v>0</v>
      </c>
      <c r="J78" s="24">
        <f t="shared" si="116"/>
        <v>0</v>
      </c>
      <c r="K78" s="25"/>
      <c r="Z78" s="24">
        <f t="shared" si="117"/>
        <v>0</v>
      </c>
      <c r="AB78" s="24">
        <f t="shared" si="118"/>
        <v>0</v>
      </c>
      <c r="AC78" s="24">
        <f t="shared" si="119"/>
        <v>0</v>
      </c>
      <c r="AD78" s="24">
        <f t="shared" si="120"/>
        <v>0</v>
      </c>
      <c r="AE78" s="24">
        <f t="shared" si="121"/>
        <v>0</v>
      </c>
      <c r="AF78" s="24">
        <f t="shared" si="122"/>
        <v>0</v>
      </c>
      <c r="AG78" s="24">
        <f t="shared" si="123"/>
        <v>0</v>
      </c>
      <c r="AH78" s="24">
        <f t="shared" si="124"/>
        <v>0</v>
      </c>
      <c r="AI78" s="10" t="s">
        <v>43</v>
      </c>
      <c r="AJ78" s="24">
        <f t="shared" si="125"/>
        <v>0</v>
      </c>
      <c r="AK78" s="24">
        <f t="shared" si="126"/>
        <v>0</v>
      </c>
      <c r="AL78" s="24">
        <f t="shared" si="127"/>
        <v>0</v>
      </c>
      <c r="AN78" s="24">
        <v>21</v>
      </c>
      <c r="AO78" s="24">
        <f>G78*0.583820784</f>
        <v>0</v>
      </c>
      <c r="AP78" s="24">
        <f>G78*(1-0.583820784)</f>
        <v>0</v>
      </c>
      <c r="AQ78" s="26" t="s">
        <v>73</v>
      </c>
      <c r="AV78" s="24">
        <f t="shared" si="128"/>
        <v>0</v>
      </c>
      <c r="AW78" s="24">
        <f t="shared" si="129"/>
        <v>0</v>
      </c>
      <c r="AX78" s="24">
        <f t="shared" si="130"/>
        <v>0</v>
      </c>
      <c r="AY78" s="26" t="s">
        <v>221</v>
      </c>
      <c r="AZ78" s="26" t="s">
        <v>200</v>
      </c>
      <c r="BA78" s="10" t="s">
        <v>52</v>
      </c>
      <c r="BC78" s="24">
        <f t="shared" si="131"/>
        <v>0</v>
      </c>
      <c r="BD78" s="24">
        <f t="shared" si="132"/>
        <v>0</v>
      </c>
      <c r="BE78" s="24">
        <v>0</v>
      </c>
      <c r="BF78" s="24">
        <f>75</f>
        <v>75</v>
      </c>
      <c r="BH78" s="24">
        <f t="shared" si="133"/>
        <v>0</v>
      </c>
      <c r="BI78" s="24">
        <f t="shared" si="134"/>
        <v>0</v>
      </c>
      <c r="BJ78" s="24">
        <f t="shared" si="135"/>
        <v>0</v>
      </c>
      <c r="BK78" s="26" t="s">
        <v>53</v>
      </c>
      <c r="BL78" s="24">
        <v>713</v>
      </c>
      <c r="BW78" s="24">
        <v>21</v>
      </c>
      <c r="BX78" s="4" t="s">
        <v>248</v>
      </c>
    </row>
    <row r="79" spans="1:76" ht="14.4" x14ac:dyDescent="0.3">
      <c r="A79" s="2" t="s">
        <v>249</v>
      </c>
      <c r="B79" s="3" t="s">
        <v>250</v>
      </c>
      <c r="C79" s="82" t="s">
        <v>251</v>
      </c>
      <c r="D79" s="81"/>
      <c r="E79" s="3" t="s">
        <v>76</v>
      </c>
      <c r="F79" s="24">
        <v>6</v>
      </c>
      <c r="G79" s="180">
        <v>0</v>
      </c>
      <c r="H79" s="24">
        <f t="shared" si="114"/>
        <v>0</v>
      </c>
      <c r="I79" s="24">
        <f t="shared" si="115"/>
        <v>0</v>
      </c>
      <c r="J79" s="24">
        <f t="shared" si="116"/>
        <v>0</v>
      </c>
      <c r="K79" s="25"/>
      <c r="Z79" s="24">
        <f t="shared" si="117"/>
        <v>0</v>
      </c>
      <c r="AB79" s="24">
        <f t="shared" si="118"/>
        <v>0</v>
      </c>
      <c r="AC79" s="24">
        <f t="shared" si="119"/>
        <v>0</v>
      </c>
      <c r="AD79" s="24">
        <f t="shared" si="120"/>
        <v>0</v>
      </c>
      <c r="AE79" s="24">
        <f t="shared" si="121"/>
        <v>0</v>
      </c>
      <c r="AF79" s="24">
        <f t="shared" si="122"/>
        <v>0</v>
      </c>
      <c r="AG79" s="24">
        <f t="shared" si="123"/>
        <v>0</v>
      </c>
      <c r="AH79" s="24">
        <f t="shared" si="124"/>
        <v>0</v>
      </c>
      <c r="AI79" s="10" t="s">
        <v>43</v>
      </c>
      <c r="AJ79" s="24">
        <f t="shared" si="125"/>
        <v>0</v>
      </c>
      <c r="AK79" s="24">
        <f t="shared" si="126"/>
        <v>0</v>
      </c>
      <c r="AL79" s="24">
        <f t="shared" si="127"/>
        <v>0</v>
      </c>
      <c r="AN79" s="24">
        <v>21</v>
      </c>
      <c r="AO79" s="24">
        <f>G79*0</f>
        <v>0</v>
      </c>
      <c r="AP79" s="24">
        <f>G79*(1-0)</f>
        <v>0</v>
      </c>
      <c r="AQ79" s="26" t="s">
        <v>73</v>
      </c>
      <c r="AV79" s="24">
        <f t="shared" si="128"/>
        <v>0</v>
      </c>
      <c r="AW79" s="24">
        <f t="shared" si="129"/>
        <v>0</v>
      </c>
      <c r="AX79" s="24">
        <f t="shared" si="130"/>
        <v>0</v>
      </c>
      <c r="AY79" s="26" t="s">
        <v>221</v>
      </c>
      <c r="AZ79" s="26" t="s">
        <v>200</v>
      </c>
      <c r="BA79" s="10" t="s">
        <v>52</v>
      </c>
      <c r="BC79" s="24">
        <f t="shared" si="131"/>
        <v>0</v>
      </c>
      <c r="BD79" s="24">
        <f t="shared" si="132"/>
        <v>0</v>
      </c>
      <c r="BE79" s="24">
        <v>0</v>
      </c>
      <c r="BF79" s="24">
        <f>76</f>
        <v>76</v>
      </c>
      <c r="BH79" s="24">
        <f t="shared" si="133"/>
        <v>0</v>
      </c>
      <c r="BI79" s="24">
        <f t="shared" si="134"/>
        <v>0</v>
      </c>
      <c r="BJ79" s="24">
        <f t="shared" si="135"/>
        <v>0</v>
      </c>
      <c r="BK79" s="26" t="s">
        <v>53</v>
      </c>
      <c r="BL79" s="24">
        <v>713</v>
      </c>
      <c r="BW79" s="24">
        <v>21</v>
      </c>
      <c r="BX79" s="4" t="s">
        <v>251</v>
      </c>
    </row>
    <row r="80" spans="1:76" ht="14.4" x14ac:dyDescent="0.3">
      <c r="A80" s="2" t="s">
        <v>252</v>
      </c>
      <c r="B80" s="3" t="s">
        <v>253</v>
      </c>
      <c r="C80" s="82" t="s">
        <v>254</v>
      </c>
      <c r="D80" s="81"/>
      <c r="E80" s="3" t="s">
        <v>174</v>
      </c>
      <c r="F80" s="24">
        <v>6</v>
      </c>
      <c r="G80" s="180">
        <v>0</v>
      </c>
      <c r="H80" s="24">
        <f t="shared" si="114"/>
        <v>0</v>
      </c>
      <c r="I80" s="24">
        <f t="shared" si="115"/>
        <v>0</v>
      </c>
      <c r="J80" s="24">
        <f t="shared" si="116"/>
        <v>0</v>
      </c>
      <c r="K80" s="25"/>
      <c r="Z80" s="24">
        <f t="shared" si="117"/>
        <v>0</v>
      </c>
      <c r="AB80" s="24">
        <f t="shared" si="118"/>
        <v>0</v>
      </c>
      <c r="AC80" s="24">
        <f t="shared" si="119"/>
        <v>0</v>
      </c>
      <c r="AD80" s="24">
        <f t="shared" si="120"/>
        <v>0</v>
      </c>
      <c r="AE80" s="24">
        <f t="shared" si="121"/>
        <v>0</v>
      </c>
      <c r="AF80" s="24">
        <f t="shared" si="122"/>
        <v>0</v>
      </c>
      <c r="AG80" s="24">
        <f t="shared" si="123"/>
        <v>0</v>
      </c>
      <c r="AH80" s="24">
        <f t="shared" si="124"/>
        <v>0</v>
      </c>
      <c r="AI80" s="10" t="s">
        <v>43</v>
      </c>
      <c r="AJ80" s="24">
        <f t="shared" si="125"/>
        <v>0</v>
      </c>
      <c r="AK80" s="24">
        <f t="shared" si="126"/>
        <v>0</v>
      </c>
      <c r="AL80" s="24">
        <f t="shared" si="127"/>
        <v>0</v>
      </c>
      <c r="AN80" s="24">
        <v>21</v>
      </c>
      <c r="AO80" s="24">
        <f>G80*0</f>
        <v>0</v>
      </c>
      <c r="AP80" s="24">
        <f>G80*(1-0)</f>
        <v>0</v>
      </c>
      <c r="AQ80" s="26" t="s">
        <v>73</v>
      </c>
      <c r="AV80" s="24">
        <f t="shared" si="128"/>
        <v>0</v>
      </c>
      <c r="AW80" s="24">
        <f t="shared" si="129"/>
        <v>0</v>
      </c>
      <c r="AX80" s="24">
        <f t="shared" si="130"/>
        <v>0</v>
      </c>
      <c r="AY80" s="26" t="s">
        <v>221</v>
      </c>
      <c r="AZ80" s="26" t="s">
        <v>200</v>
      </c>
      <c r="BA80" s="10" t="s">
        <v>52</v>
      </c>
      <c r="BC80" s="24">
        <f t="shared" si="131"/>
        <v>0</v>
      </c>
      <c r="BD80" s="24">
        <f t="shared" si="132"/>
        <v>0</v>
      </c>
      <c r="BE80" s="24">
        <v>0</v>
      </c>
      <c r="BF80" s="24">
        <f>77</f>
        <v>77</v>
      </c>
      <c r="BH80" s="24">
        <f t="shared" si="133"/>
        <v>0</v>
      </c>
      <c r="BI80" s="24">
        <f t="shared" si="134"/>
        <v>0</v>
      </c>
      <c r="BJ80" s="24">
        <f t="shared" si="135"/>
        <v>0</v>
      </c>
      <c r="BK80" s="26" t="s">
        <v>53</v>
      </c>
      <c r="BL80" s="24">
        <v>713</v>
      </c>
      <c r="BW80" s="24">
        <v>21</v>
      </c>
      <c r="BX80" s="4" t="s">
        <v>254</v>
      </c>
    </row>
    <row r="81" spans="1:76" ht="14.4" x14ac:dyDescent="0.3">
      <c r="A81" s="2" t="s">
        <v>255</v>
      </c>
      <c r="B81" s="3" t="s">
        <v>256</v>
      </c>
      <c r="C81" s="82" t="s">
        <v>257</v>
      </c>
      <c r="D81" s="81"/>
      <c r="E81" s="3" t="s">
        <v>174</v>
      </c>
      <c r="F81" s="24">
        <v>6</v>
      </c>
      <c r="G81" s="180">
        <v>0</v>
      </c>
      <c r="H81" s="24">
        <f t="shared" si="114"/>
        <v>0</v>
      </c>
      <c r="I81" s="24">
        <f t="shared" si="115"/>
        <v>0</v>
      </c>
      <c r="J81" s="24">
        <f t="shared" si="116"/>
        <v>0</v>
      </c>
      <c r="K81" s="25"/>
      <c r="Z81" s="24">
        <f t="shared" si="117"/>
        <v>0</v>
      </c>
      <c r="AB81" s="24">
        <f t="shared" si="118"/>
        <v>0</v>
      </c>
      <c r="AC81" s="24">
        <f t="shared" si="119"/>
        <v>0</v>
      </c>
      <c r="AD81" s="24">
        <f t="shared" si="120"/>
        <v>0</v>
      </c>
      <c r="AE81" s="24">
        <f t="shared" si="121"/>
        <v>0</v>
      </c>
      <c r="AF81" s="24">
        <f t="shared" si="122"/>
        <v>0</v>
      </c>
      <c r="AG81" s="24">
        <f t="shared" si="123"/>
        <v>0</v>
      </c>
      <c r="AH81" s="24">
        <f t="shared" si="124"/>
        <v>0</v>
      </c>
      <c r="AI81" s="10" t="s">
        <v>43</v>
      </c>
      <c r="AJ81" s="24">
        <f t="shared" si="125"/>
        <v>0</v>
      </c>
      <c r="AK81" s="24">
        <f t="shared" si="126"/>
        <v>0</v>
      </c>
      <c r="AL81" s="24">
        <f t="shared" si="127"/>
        <v>0</v>
      </c>
      <c r="AN81" s="24">
        <v>21</v>
      </c>
      <c r="AO81" s="24">
        <f>G81*0</f>
        <v>0</v>
      </c>
      <c r="AP81" s="24">
        <f>G81*(1-0)</f>
        <v>0</v>
      </c>
      <c r="AQ81" s="26" t="s">
        <v>73</v>
      </c>
      <c r="AV81" s="24">
        <f t="shared" si="128"/>
        <v>0</v>
      </c>
      <c r="AW81" s="24">
        <f t="shared" si="129"/>
        <v>0</v>
      </c>
      <c r="AX81" s="24">
        <f t="shared" si="130"/>
        <v>0</v>
      </c>
      <c r="AY81" s="26" t="s">
        <v>221</v>
      </c>
      <c r="AZ81" s="26" t="s">
        <v>200</v>
      </c>
      <c r="BA81" s="10" t="s">
        <v>52</v>
      </c>
      <c r="BC81" s="24">
        <f t="shared" si="131"/>
        <v>0</v>
      </c>
      <c r="BD81" s="24">
        <f t="shared" si="132"/>
        <v>0</v>
      </c>
      <c r="BE81" s="24">
        <v>0</v>
      </c>
      <c r="BF81" s="24">
        <f>78</f>
        <v>78</v>
      </c>
      <c r="BH81" s="24">
        <f t="shared" si="133"/>
        <v>0</v>
      </c>
      <c r="BI81" s="24">
        <f t="shared" si="134"/>
        <v>0</v>
      </c>
      <c r="BJ81" s="24">
        <f t="shared" si="135"/>
        <v>0</v>
      </c>
      <c r="BK81" s="26" t="s">
        <v>53</v>
      </c>
      <c r="BL81" s="24">
        <v>713</v>
      </c>
      <c r="BW81" s="24">
        <v>21</v>
      </c>
      <c r="BX81" s="4" t="s">
        <v>257</v>
      </c>
    </row>
    <row r="82" spans="1:76" ht="14.4" x14ac:dyDescent="0.3">
      <c r="A82" s="2" t="s">
        <v>258</v>
      </c>
      <c r="B82" s="3" t="s">
        <v>259</v>
      </c>
      <c r="C82" s="82" t="s">
        <v>260</v>
      </c>
      <c r="D82" s="81"/>
      <c r="E82" s="3" t="s">
        <v>261</v>
      </c>
      <c r="F82" s="24">
        <v>2.9999999999999997E-4</v>
      </c>
      <c r="G82" s="180">
        <v>0</v>
      </c>
      <c r="H82" s="24">
        <f t="shared" si="114"/>
        <v>0</v>
      </c>
      <c r="I82" s="24">
        <f t="shared" si="115"/>
        <v>0</v>
      </c>
      <c r="J82" s="24">
        <f t="shared" si="116"/>
        <v>0</v>
      </c>
      <c r="K82" s="25"/>
      <c r="Z82" s="24">
        <f t="shared" si="117"/>
        <v>0</v>
      </c>
      <c r="AB82" s="24">
        <f t="shared" si="118"/>
        <v>0</v>
      </c>
      <c r="AC82" s="24">
        <f t="shared" si="119"/>
        <v>0</v>
      </c>
      <c r="AD82" s="24">
        <f t="shared" si="120"/>
        <v>0</v>
      </c>
      <c r="AE82" s="24">
        <f t="shared" si="121"/>
        <v>0</v>
      </c>
      <c r="AF82" s="24">
        <f t="shared" si="122"/>
        <v>0</v>
      </c>
      <c r="AG82" s="24">
        <f t="shared" si="123"/>
        <v>0</v>
      </c>
      <c r="AH82" s="24">
        <f t="shared" si="124"/>
        <v>0</v>
      </c>
      <c r="AI82" s="10" t="s">
        <v>43</v>
      </c>
      <c r="AJ82" s="24">
        <f t="shared" si="125"/>
        <v>0</v>
      </c>
      <c r="AK82" s="24">
        <f t="shared" si="126"/>
        <v>0</v>
      </c>
      <c r="AL82" s="24">
        <f t="shared" si="127"/>
        <v>0</v>
      </c>
      <c r="AN82" s="24">
        <v>21</v>
      </c>
      <c r="AO82" s="24">
        <f>G82*0</f>
        <v>0</v>
      </c>
      <c r="AP82" s="24">
        <f>G82*(1-0)</f>
        <v>0</v>
      </c>
      <c r="AQ82" s="26" t="s">
        <v>64</v>
      </c>
      <c r="AV82" s="24">
        <f t="shared" si="128"/>
        <v>0</v>
      </c>
      <c r="AW82" s="24">
        <f t="shared" si="129"/>
        <v>0</v>
      </c>
      <c r="AX82" s="24">
        <f t="shared" si="130"/>
        <v>0</v>
      </c>
      <c r="AY82" s="26" t="s">
        <v>221</v>
      </c>
      <c r="AZ82" s="26" t="s">
        <v>200</v>
      </c>
      <c r="BA82" s="10" t="s">
        <v>52</v>
      </c>
      <c r="BC82" s="24">
        <f t="shared" si="131"/>
        <v>0</v>
      </c>
      <c r="BD82" s="24">
        <f t="shared" si="132"/>
        <v>0</v>
      </c>
      <c r="BE82" s="24">
        <v>0</v>
      </c>
      <c r="BF82" s="24">
        <f>79</f>
        <v>79</v>
      </c>
      <c r="BH82" s="24">
        <f t="shared" si="133"/>
        <v>0</v>
      </c>
      <c r="BI82" s="24">
        <f t="shared" si="134"/>
        <v>0</v>
      </c>
      <c r="BJ82" s="24">
        <f t="shared" si="135"/>
        <v>0</v>
      </c>
      <c r="BK82" s="26" t="s">
        <v>53</v>
      </c>
      <c r="BL82" s="24">
        <v>713</v>
      </c>
      <c r="BW82" s="24">
        <v>21</v>
      </c>
      <c r="BX82" s="4" t="s">
        <v>260</v>
      </c>
    </row>
    <row r="83" spans="1:76" ht="14.4" x14ac:dyDescent="0.3">
      <c r="A83" s="2" t="s">
        <v>262</v>
      </c>
      <c r="B83" s="3" t="s">
        <v>263</v>
      </c>
      <c r="C83" s="82" t="s">
        <v>264</v>
      </c>
      <c r="D83" s="81"/>
      <c r="E83" s="3" t="s">
        <v>215</v>
      </c>
      <c r="F83" s="24">
        <v>5497</v>
      </c>
      <c r="G83" s="180">
        <v>0</v>
      </c>
      <c r="H83" s="24">
        <f t="shared" si="114"/>
        <v>0</v>
      </c>
      <c r="I83" s="24">
        <f t="shared" si="115"/>
        <v>0</v>
      </c>
      <c r="J83" s="24">
        <f t="shared" si="116"/>
        <v>0</v>
      </c>
      <c r="K83" s="25"/>
      <c r="Z83" s="24">
        <f t="shared" si="117"/>
        <v>0</v>
      </c>
      <c r="AB83" s="24">
        <f t="shared" si="118"/>
        <v>0</v>
      </c>
      <c r="AC83" s="24">
        <f t="shared" si="119"/>
        <v>0</v>
      </c>
      <c r="AD83" s="24">
        <f t="shared" si="120"/>
        <v>0</v>
      </c>
      <c r="AE83" s="24">
        <f t="shared" si="121"/>
        <v>0</v>
      </c>
      <c r="AF83" s="24">
        <f t="shared" si="122"/>
        <v>0</v>
      </c>
      <c r="AG83" s="24">
        <f t="shared" si="123"/>
        <v>0</v>
      </c>
      <c r="AH83" s="24">
        <f t="shared" si="124"/>
        <v>0</v>
      </c>
      <c r="AI83" s="10" t="s">
        <v>43</v>
      </c>
      <c r="AJ83" s="24">
        <f t="shared" si="125"/>
        <v>0</v>
      </c>
      <c r="AK83" s="24">
        <f t="shared" si="126"/>
        <v>0</v>
      </c>
      <c r="AL83" s="24">
        <f t="shared" si="127"/>
        <v>0</v>
      </c>
      <c r="AN83" s="24">
        <v>21</v>
      </c>
      <c r="AO83" s="24">
        <f>G83*0</f>
        <v>0</v>
      </c>
      <c r="AP83" s="24">
        <f>G83*(1-0)</f>
        <v>0</v>
      </c>
      <c r="AQ83" s="26" t="s">
        <v>64</v>
      </c>
      <c r="AV83" s="24">
        <f t="shared" si="128"/>
        <v>0</v>
      </c>
      <c r="AW83" s="24">
        <f t="shared" si="129"/>
        <v>0</v>
      </c>
      <c r="AX83" s="24">
        <f t="shared" si="130"/>
        <v>0</v>
      </c>
      <c r="AY83" s="26" t="s">
        <v>221</v>
      </c>
      <c r="AZ83" s="26" t="s">
        <v>200</v>
      </c>
      <c r="BA83" s="10" t="s">
        <v>52</v>
      </c>
      <c r="BC83" s="24">
        <f t="shared" si="131"/>
        <v>0</v>
      </c>
      <c r="BD83" s="24">
        <f t="shared" si="132"/>
        <v>0</v>
      </c>
      <c r="BE83" s="24">
        <v>0</v>
      </c>
      <c r="BF83" s="24">
        <f>80</f>
        <v>80</v>
      </c>
      <c r="BH83" s="24">
        <f t="shared" si="133"/>
        <v>0</v>
      </c>
      <c r="BI83" s="24">
        <f t="shared" si="134"/>
        <v>0</v>
      </c>
      <c r="BJ83" s="24">
        <f t="shared" si="135"/>
        <v>0</v>
      </c>
      <c r="BK83" s="26" t="s">
        <v>53</v>
      </c>
      <c r="BL83" s="24">
        <v>713</v>
      </c>
      <c r="BW83" s="24">
        <v>21</v>
      </c>
      <c r="BX83" s="4" t="s">
        <v>264</v>
      </c>
    </row>
    <row r="84" spans="1:76" ht="14.4" x14ac:dyDescent="0.3">
      <c r="A84" s="27" t="s">
        <v>43</v>
      </c>
      <c r="B84" s="28" t="s">
        <v>265</v>
      </c>
      <c r="C84" s="98" t="s">
        <v>266</v>
      </c>
      <c r="D84" s="99"/>
      <c r="E84" s="29" t="s">
        <v>3</v>
      </c>
      <c r="F84" s="29" t="s">
        <v>3</v>
      </c>
      <c r="G84" s="29" t="s">
        <v>3</v>
      </c>
      <c r="H84" s="1">
        <f>ROUND(SUM(H85:H92),2)</f>
        <v>0</v>
      </c>
      <c r="I84" s="1">
        <f>ROUND(SUM(I85:I92),2)</f>
        <v>0</v>
      </c>
      <c r="J84" s="1">
        <f>ROUND(SUM(J85:J92),2)</f>
        <v>0</v>
      </c>
      <c r="K84" s="30"/>
      <c r="AI84" s="10" t="s">
        <v>43</v>
      </c>
      <c r="AS84" s="1">
        <f>SUM(AJ85:AJ92)</f>
        <v>0</v>
      </c>
      <c r="AT84" s="1">
        <f>SUM(AK85:AK92)</f>
        <v>0</v>
      </c>
      <c r="AU84" s="1">
        <f>SUM(AL85:AL92)</f>
        <v>0</v>
      </c>
    </row>
    <row r="85" spans="1:76" ht="14.4" x14ac:dyDescent="0.3">
      <c r="A85" s="2" t="s">
        <v>267</v>
      </c>
      <c r="B85" s="3" t="s">
        <v>268</v>
      </c>
      <c r="C85" s="82" t="s">
        <v>269</v>
      </c>
      <c r="D85" s="81"/>
      <c r="E85" s="3" t="s">
        <v>193</v>
      </c>
      <c r="F85" s="24">
        <v>1</v>
      </c>
      <c r="G85" s="180">
        <v>0</v>
      </c>
      <c r="H85" s="24">
        <f t="shared" ref="H85:H92" si="136">ROUND(F85*AO85,2)</f>
        <v>0</v>
      </c>
      <c r="I85" s="24">
        <f t="shared" ref="I85:I92" si="137">ROUND(F85*AP85,2)</f>
        <v>0</v>
      </c>
      <c r="J85" s="24">
        <f t="shared" ref="J85:J92" si="138">ROUND(F85*G85,2)</f>
        <v>0</v>
      </c>
      <c r="K85" s="25"/>
      <c r="Z85" s="24">
        <f t="shared" ref="Z85:Z92" si="139">ROUND(IF(AQ85="5",BJ85,0),2)</f>
        <v>0</v>
      </c>
      <c r="AB85" s="24">
        <f t="shared" ref="AB85:AB92" si="140">ROUND(IF(AQ85="1",BH85,0),2)</f>
        <v>0</v>
      </c>
      <c r="AC85" s="24">
        <f t="shared" ref="AC85:AC92" si="141">ROUND(IF(AQ85="1",BI85,0),2)</f>
        <v>0</v>
      </c>
      <c r="AD85" s="24">
        <f t="shared" ref="AD85:AD92" si="142">ROUND(IF(AQ85="7",BH85,0),2)</f>
        <v>0</v>
      </c>
      <c r="AE85" s="24">
        <f t="shared" ref="AE85:AE92" si="143">ROUND(IF(AQ85="7",BI85,0),2)</f>
        <v>0</v>
      </c>
      <c r="AF85" s="24">
        <f t="shared" ref="AF85:AF92" si="144">ROUND(IF(AQ85="2",BH85,0),2)</f>
        <v>0</v>
      </c>
      <c r="AG85" s="24">
        <f t="shared" ref="AG85:AG92" si="145">ROUND(IF(AQ85="2",BI85,0),2)</f>
        <v>0</v>
      </c>
      <c r="AH85" s="24">
        <f t="shared" ref="AH85:AH92" si="146">ROUND(IF(AQ85="0",BJ85,0),2)</f>
        <v>0</v>
      </c>
      <c r="AI85" s="10" t="s">
        <v>43</v>
      </c>
      <c r="AJ85" s="24">
        <f t="shared" ref="AJ85:AJ92" si="147">IF(AN85=0,J85,0)</f>
        <v>0</v>
      </c>
      <c r="AK85" s="24">
        <f t="shared" ref="AK85:AK92" si="148">IF(AN85=12,J85,0)</f>
        <v>0</v>
      </c>
      <c r="AL85" s="24">
        <f t="shared" ref="AL85:AL92" si="149">IF(AN85=21,J85,0)</f>
        <v>0</v>
      </c>
      <c r="AN85" s="24">
        <v>21</v>
      </c>
      <c r="AO85" s="24">
        <f>G85*0.260583333</f>
        <v>0</v>
      </c>
      <c r="AP85" s="24">
        <f>G85*(1-0.260583333)</f>
        <v>0</v>
      </c>
      <c r="AQ85" s="26" t="s">
        <v>73</v>
      </c>
      <c r="AV85" s="24">
        <f t="shared" ref="AV85:AV92" si="150">ROUND(AW85+AX85,2)</f>
        <v>0</v>
      </c>
      <c r="AW85" s="24">
        <f t="shared" ref="AW85:AW92" si="151">ROUND(F85*AO85,2)</f>
        <v>0</v>
      </c>
      <c r="AX85" s="24">
        <f t="shared" ref="AX85:AX92" si="152">ROUND(F85*AP85,2)</f>
        <v>0</v>
      </c>
      <c r="AY85" s="26" t="s">
        <v>270</v>
      </c>
      <c r="AZ85" s="26" t="s">
        <v>271</v>
      </c>
      <c r="BA85" s="10" t="s">
        <v>52</v>
      </c>
      <c r="BC85" s="24">
        <f t="shared" ref="BC85:BC92" si="153">AW85+AX85</f>
        <v>0</v>
      </c>
      <c r="BD85" s="24">
        <f t="shared" ref="BD85:BD92" si="154">G85/(100-BE85)*100</f>
        <v>0</v>
      </c>
      <c r="BE85" s="24">
        <v>0</v>
      </c>
      <c r="BF85" s="24">
        <f>82</f>
        <v>82</v>
      </c>
      <c r="BH85" s="24">
        <f t="shared" ref="BH85:BH92" si="155">F85*AO85</f>
        <v>0</v>
      </c>
      <c r="BI85" s="24">
        <f t="shared" ref="BI85:BI92" si="156">F85*AP85</f>
        <v>0</v>
      </c>
      <c r="BJ85" s="24">
        <f t="shared" ref="BJ85:BJ92" si="157">F85*G85</f>
        <v>0</v>
      </c>
      <c r="BK85" s="26" t="s">
        <v>53</v>
      </c>
      <c r="BL85" s="24">
        <v>764</v>
      </c>
      <c r="BW85" s="24">
        <v>21</v>
      </c>
      <c r="BX85" s="4" t="s">
        <v>269</v>
      </c>
    </row>
    <row r="86" spans="1:76" ht="14.4" x14ac:dyDescent="0.3">
      <c r="A86" s="2" t="s">
        <v>123</v>
      </c>
      <c r="B86" s="3" t="s">
        <v>272</v>
      </c>
      <c r="C86" s="82" t="s">
        <v>273</v>
      </c>
      <c r="D86" s="81"/>
      <c r="E86" s="3" t="s">
        <v>76</v>
      </c>
      <c r="F86" s="24">
        <v>2</v>
      </c>
      <c r="G86" s="180">
        <v>0</v>
      </c>
      <c r="H86" s="24">
        <f t="shared" si="136"/>
        <v>0</v>
      </c>
      <c r="I86" s="24">
        <f t="shared" si="137"/>
        <v>0</v>
      </c>
      <c r="J86" s="24">
        <f t="shared" si="138"/>
        <v>0</v>
      </c>
      <c r="K86" s="25"/>
      <c r="Z86" s="24">
        <f t="shared" si="139"/>
        <v>0</v>
      </c>
      <c r="AB86" s="24">
        <f t="shared" si="140"/>
        <v>0</v>
      </c>
      <c r="AC86" s="24">
        <f t="shared" si="141"/>
        <v>0</v>
      </c>
      <c r="AD86" s="24">
        <f t="shared" si="142"/>
        <v>0</v>
      </c>
      <c r="AE86" s="24">
        <f t="shared" si="143"/>
        <v>0</v>
      </c>
      <c r="AF86" s="24">
        <f t="shared" si="144"/>
        <v>0</v>
      </c>
      <c r="AG86" s="24">
        <f t="shared" si="145"/>
        <v>0</v>
      </c>
      <c r="AH86" s="24">
        <f t="shared" si="146"/>
        <v>0</v>
      </c>
      <c r="AI86" s="10" t="s">
        <v>43</v>
      </c>
      <c r="AJ86" s="24">
        <f t="shared" si="147"/>
        <v>0</v>
      </c>
      <c r="AK86" s="24">
        <f t="shared" si="148"/>
        <v>0</v>
      </c>
      <c r="AL86" s="24">
        <f t="shared" si="149"/>
        <v>0</v>
      </c>
      <c r="AN86" s="24">
        <v>21</v>
      </c>
      <c r="AO86" s="24">
        <f>G86*0.727187166</f>
        <v>0</v>
      </c>
      <c r="AP86" s="24">
        <f>G86*(1-0.727187166)</f>
        <v>0</v>
      </c>
      <c r="AQ86" s="26" t="s">
        <v>73</v>
      </c>
      <c r="AV86" s="24">
        <f t="shared" si="150"/>
        <v>0</v>
      </c>
      <c r="AW86" s="24">
        <f t="shared" si="151"/>
        <v>0</v>
      </c>
      <c r="AX86" s="24">
        <f t="shared" si="152"/>
        <v>0</v>
      </c>
      <c r="AY86" s="26" t="s">
        <v>270</v>
      </c>
      <c r="AZ86" s="26" t="s">
        <v>271</v>
      </c>
      <c r="BA86" s="10" t="s">
        <v>52</v>
      </c>
      <c r="BC86" s="24">
        <f t="shared" si="153"/>
        <v>0</v>
      </c>
      <c r="BD86" s="24">
        <f t="shared" si="154"/>
        <v>0</v>
      </c>
      <c r="BE86" s="24">
        <v>0</v>
      </c>
      <c r="BF86" s="24">
        <f>83</f>
        <v>83</v>
      </c>
      <c r="BH86" s="24">
        <f t="shared" si="155"/>
        <v>0</v>
      </c>
      <c r="BI86" s="24">
        <f t="shared" si="156"/>
        <v>0</v>
      </c>
      <c r="BJ86" s="24">
        <f t="shared" si="157"/>
        <v>0</v>
      </c>
      <c r="BK86" s="26" t="s">
        <v>53</v>
      </c>
      <c r="BL86" s="24">
        <v>764</v>
      </c>
      <c r="BW86" s="24">
        <v>21</v>
      </c>
      <c r="BX86" s="4" t="s">
        <v>273</v>
      </c>
    </row>
    <row r="87" spans="1:76" ht="14.4" x14ac:dyDescent="0.3">
      <c r="A87" s="2" t="s">
        <v>136</v>
      </c>
      <c r="B87" s="3" t="s">
        <v>274</v>
      </c>
      <c r="C87" s="82" t="s">
        <v>275</v>
      </c>
      <c r="D87" s="81"/>
      <c r="E87" s="3" t="s">
        <v>91</v>
      </c>
      <c r="F87" s="24">
        <v>2</v>
      </c>
      <c r="G87" s="180">
        <v>0</v>
      </c>
      <c r="H87" s="24">
        <f t="shared" si="136"/>
        <v>0</v>
      </c>
      <c r="I87" s="24">
        <f t="shared" si="137"/>
        <v>0</v>
      </c>
      <c r="J87" s="24">
        <f t="shared" si="138"/>
        <v>0</v>
      </c>
      <c r="K87" s="25"/>
      <c r="Z87" s="24">
        <f t="shared" si="139"/>
        <v>0</v>
      </c>
      <c r="AB87" s="24">
        <f t="shared" si="140"/>
        <v>0</v>
      </c>
      <c r="AC87" s="24">
        <f t="shared" si="141"/>
        <v>0</v>
      </c>
      <c r="AD87" s="24">
        <f t="shared" si="142"/>
        <v>0</v>
      </c>
      <c r="AE87" s="24">
        <f t="shared" si="143"/>
        <v>0</v>
      </c>
      <c r="AF87" s="24">
        <f t="shared" si="144"/>
        <v>0</v>
      </c>
      <c r="AG87" s="24">
        <f t="shared" si="145"/>
        <v>0</v>
      </c>
      <c r="AH87" s="24">
        <f t="shared" si="146"/>
        <v>0</v>
      </c>
      <c r="AI87" s="10" t="s">
        <v>43</v>
      </c>
      <c r="AJ87" s="24">
        <f t="shared" si="147"/>
        <v>0</v>
      </c>
      <c r="AK87" s="24">
        <f t="shared" si="148"/>
        <v>0</v>
      </c>
      <c r="AL87" s="24">
        <f t="shared" si="149"/>
        <v>0</v>
      </c>
      <c r="AN87" s="24">
        <v>21</v>
      </c>
      <c r="AO87" s="24">
        <f>G87*0.811795422</f>
        <v>0</v>
      </c>
      <c r="AP87" s="24">
        <f>G87*(1-0.811795422)</f>
        <v>0</v>
      </c>
      <c r="AQ87" s="26" t="s">
        <v>73</v>
      </c>
      <c r="AV87" s="24">
        <f t="shared" si="150"/>
        <v>0</v>
      </c>
      <c r="AW87" s="24">
        <f t="shared" si="151"/>
        <v>0</v>
      </c>
      <c r="AX87" s="24">
        <f t="shared" si="152"/>
        <v>0</v>
      </c>
      <c r="AY87" s="26" t="s">
        <v>270</v>
      </c>
      <c r="AZ87" s="26" t="s">
        <v>271</v>
      </c>
      <c r="BA87" s="10" t="s">
        <v>52</v>
      </c>
      <c r="BC87" s="24">
        <f t="shared" si="153"/>
        <v>0</v>
      </c>
      <c r="BD87" s="24">
        <f t="shared" si="154"/>
        <v>0</v>
      </c>
      <c r="BE87" s="24">
        <v>0</v>
      </c>
      <c r="BF87" s="24">
        <f>84</f>
        <v>84</v>
      </c>
      <c r="BH87" s="24">
        <f t="shared" si="155"/>
        <v>0</v>
      </c>
      <c r="BI87" s="24">
        <f t="shared" si="156"/>
        <v>0</v>
      </c>
      <c r="BJ87" s="24">
        <f t="shared" si="157"/>
        <v>0</v>
      </c>
      <c r="BK87" s="26" t="s">
        <v>53</v>
      </c>
      <c r="BL87" s="24">
        <v>764</v>
      </c>
      <c r="BW87" s="24">
        <v>21</v>
      </c>
      <c r="BX87" s="4" t="s">
        <v>275</v>
      </c>
    </row>
    <row r="88" spans="1:76" ht="14.4" x14ac:dyDescent="0.3">
      <c r="A88" s="2" t="s">
        <v>142</v>
      </c>
      <c r="B88" s="3" t="s">
        <v>276</v>
      </c>
      <c r="C88" s="82" t="s">
        <v>277</v>
      </c>
      <c r="D88" s="81"/>
      <c r="E88" s="3" t="s">
        <v>76</v>
      </c>
      <c r="F88" s="24">
        <v>1</v>
      </c>
      <c r="G88" s="180">
        <v>0</v>
      </c>
      <c r="H88" s="24">
        <f t="shared" si="136"/>
        <v>0</v>
      </c>
      <c r="I88" s="24">
        <f t="shared" si="137"/>
        <v>0</v>
      </c>
      <c r="J88" s="24">
        <f t="shared" si="138"/>
        <v>0</v>
      </c>
      <c r="K88" s="25"/>
      <c r="Z88" s="24">
        <f t="shared" si="139"/>
        <v>0</v>
      </c>
      <c r="AB88" s="24">
        <f t="shared" si="140"/>
        <v>0</v>
      </c>
      <c r="AC88" s="24">
        <f t="shared" si="141"/>
        <v>0</v>
      </c>
      <c r="AD88" s="24">
        <f t="shared" si="142"/>
        <v>0</v>
      </c>
      <c r="AE88" s="24">
        <f t="shared" si="143"/>
        <v>0</v>
      </c>
      <c r="AF88" s="24">
        <f t="shared" si="144"/>
        <v>0</v>
      </c>
      <c r="AG88" s="24">
        <f t="shared" si="145"/>
        <v>0</v>
      </c>
      <c r="AH88" s="24">
        <f t="shared" si="146"/>
        <v>0</v>
      </c>
      <c r="AI88" s="10" t="s">
        <v>43</v>
      </c>
      <c r="AJ88" s="24">
        <f t="shared" si="147"/>
        <v>0</v>
      </c>
      <c r="AK88" s="24">
        <f t="shared" si="148"/>
        <v>0</v>
      </c>
      <c r="AL88" s="24">
        <f t="shared" si="149"/>
        <v>0</v>
      </c>
      <c r="AN88" s="24">
        <v>21</v>
      </c>
      <c r="AO88" s="24">
        <f>G88*0.279956667</f>
        <v>0</v>
      </c>
      <c r="AP88" s="24">
        <f>G88*(1-0.279956667)</f>
        <v>0</v>
      </c>
      <c r="AQ88" s="26" t="s">
        <v>73</v>
      </c>
      <c r="AV88" s="24">
        <f t="shared" si="150"/>
        <v>0</v>
      </c>
      <c r="AW88" s="24">
        <f t="shared" si="151"/>
        <v>0</v>
      </c>
      <c r="AX88" s="24">
        <f t="shared" si="152"/>
        <v>0</v>
      </c>
      <c r="AY88" s="26" t="s">
        <v>270</v>
      </c>
      <c r="AZ88" s="26" t="s">
        <v>271</v>
      </c>
      <c r="BA88" s="10" t="s">
        <v>52</v>
      </c>
      <c r="BC88" s="24">
        <f t="shared" si="153"/>
        <v>0</v>
      </c>
      <c r="BD88" s="24">
        <f t="shared" si="154"/>
        <v>0</v>
      </c>
      <c r="BE88" s="24">
        <v>0</v>
      </c>
      <c r="BF88" s="24">
        <f>85</f>
        <v>85</v>
      </c>
      <c r="BH88" s="24">
        <f t="shared" si="155"/>
        <v>0</v>
      </c>
      <c r="BI88" s="24">
        <f t="shared" si="156"/>
        <v>0</v>
      </c>
      <c r="BJ88" s="24">
        <f t="shared" si="157"/>
        <v>0</v>
      </c>
      <c r="BK88" s="26" t="s">
        <v>53</v>
      </c>
      <c r="BL88" s="24">
        <v>764</v>
      </c>
      <c r="BW88" s="24">
        <v>21</v>
      </c>
      <c r="BX88" s="4" t="s">
        <v>277</v>
      </c>
    </row>
    <row r="89" spans="1:76" ht="14.4" x14ac:dyDescent="0.3">
      <c r="A89" s="2" t="s">
        <v>169</v>
      </c>
      <c r="B89" s="3" t="s">
        <v>278</v>
      </c>
      <c r="C89" s="82" t="s">
        <v>279</v>
      </c>
      <c r="D89" s="81"/>
      <c r="E89" s="3" t="s">
        <v>91</v>
      </c>
      <c r="F89" s="24">
        <v>23</v>
      </c>
      <c r="G89" s="180">
        <v>0</v>
      </c>
      <c r="H89" s="24">
        <f t="shared" si="136"/>
        <v>0</v>
      </c>
      <c r="I89" s="24">
        <f t="shared" si="137"/>
        <v>0</v>
      </c>
      <c r="J89" s="24">
        <f t="shared" si="138"/>
        <v>0</v>
      </c>
      <c r="K89" s="25"/>
      <c r="Z89" s="24">
        <f t="shared" si="139"/>
        <v>0</v>
      </c>
      <c r="AB89" s="24">
        <f t="shared" si="140"/>
        <v>0</v>
      </c>
      <c r="AC89" s="24">
        <f t="shared" si="141"/>
        <v>0</v>
      </c>
      <c r="AD89" s="24">
        <f t="shared" si="142"/>
        <v>0</v>
      </c>
      <c r="AE89" s="24">
        <f t="shared" si="143"/>
        <v>0</v>
      </c>
      <c r="AF89" s="24">
        <f t="shared" si="144"/>
        <v>0</v>
      </c>
      <c r="AG89" s="24">
        <f t="shared" si="145"/>
        <v>0</v>
      </c>
      <c r="AH89" s="24">
        <f t="shared" si="146"/>
        <v>0</v>
      </c>
      <c r="AI89" s="10" t="s">
        <v>43</v>
      </c>
      <c r="AJ89" s="24">
        <f t="shared" si="147"/>
        <v>0</v>
      </c>
      <c r="AK89" s="24">
        <f t="shared" si="148"/>
        <v>0</v>
      </c>
      <c r="AL89" s="24">
        <f t="shared" si="149"/>
        <v>0</v>
      </c>
      <c r="AN89" s="24">
        <v>21</v>
      </c>
      <c r="AO89" s="24">
        <f>G89*0.422738503</f>
        <v>0</v>
      </c>
      <c r="AP89" s="24">
        <f>G89*(1-0.422738503)</f>
        <v>0</v>
      </c>
      <c r="AQ89" s="26" t="s">
        <v>73</v>
      </c>
      <c r="AV89" s="24">
        <f t="shared" si="150"/>
        <v>0</v>
      </c>
      <c r="AW89" s="24">
        <f t="shared" si="151"/>
        <v>0</v>
      </c>
      <c r="AX89" s="24">
        <f t="shared" si="152"/>
        <v>0</v>
      </c>
      <c r="AY89" s="26" t="s">
        <v>270</v>
      </c>
      <c r="AZ89" s="26" t="s">
        <v>271</v>
      </c>
      <c r="BA89" s="10" t="s">
        <v>52</v>
      </c>
      <c r="BC89" s="24">
        <f t="shared" si="153"/>
        <v>0</v>
      </c>
      <c r="BD89" s="24">
        <f t="shared" si="154"/>
        <v>0</v>
      </c>
      <c r="BE89" s="24">
        <v>0</v>
      </c>
      <c r="BF89" s="24">
        <f>86</f>
        <v>86</v>
      </c>
      <c r="BH89" s="24">
        <f t="shared" si="155"/>
        <v>0</v>
      </c>
      <c r="BI89" s="24">
        <f t="shared" si="156"/>
        <v>0</v>
      </c>
      <c r="BJ89" s="24">
        <f t="shared" si="157"/>
        <v>0</v>
      </c>
      <c r="BK89" s="26" t="s">
        <v>53</v>
      </c>
      <c r="BL89" s="24">
        <v>764</v>
      </c>
      <c r="BW89" s="24">
        <v>21</v>
      </c>
      <c r="BX89" s="4" t="s">
        <v>279</v>
      </c>
    </row>
    <row r="90" spans="1:76" ht="14.4" x14ac:dyDescent="0.3">
      <c r="A90" s="2" t="s">
        <v>280</v>
      </c>
      <c r="B90" s="3" t="s">
        <v>281</v>
      </c>
      <c r="C90" s="82" t="s">
        <v>282</v>
      </c>
      <c r="D90" s="81"/>
      <c r="E90" s="3" t="s">
        <v>91</v>
      </c>
      <c r="F90" s="24">
        <v>8.5</v>
      </c>
      <c r="G90" s="180">
        <v>0</v>
      </c>
      <c r="H90" s="24">
        <f t="shared" si="136"/>
        <v>0</v>
      </c>
      <c r="I90" s="24">
        <f t="shared" si="137"/>
        <v>0</v>
      </c>
      <c r="J90" s="24">
        <f t="shared" si="138"/>
        <v>0</v>
      </c>
      <c r="K90" s="25"/>
      <c r="Z90" s="24">
        <f t="shared" si="139"/>
        <v>0</v>
      </c>
      <c r="AB90" s="24">
        <f t="shared" si="140"/>
        <v>0</v>
      </c>
      <c r="AC90" s="24">
        <f t="shared" si="141"/>
        <v>0</v>
      </c>
      <c r="AD90" s="24">
        <f t="shared" si="142"/>
        <v>0</v>
      </c>
      <c r="AE90" s="24">
        <f t="shared" si="143"/>
        <v>0</v>
      </c>
      <c r="AF90" s="24">
        <f t="shared" si="144"/>
        <v>0</v>
      </c>
      <c r="AG90" s="24">
        <f t="shared" si="145"/>
        <v>0</v>
      </c>
      <c r="AH90" s="24">
        <f t="shared" si="146"/>
        <v>0</v>
      </c>
      <c r="AI90" s="10" t="s">
        <v>43</v>
      </c>
      <c r="AJ90" s="24">
        <f t="shared" si="147"/>
        <v>0</v>
      </c>
      <c r="AK90" s="24">
        <f t="shared" si="148"/>
        <v>0</v>
      </c>
      <c r="AL90" s="24">
        <f t="shared" si="149"/>
        <v>0</v>
      </c>
      <c r="AN90" s="24">
        <v>21</v>
      </c>
      <c r="AO90" s="24">
        <f>G90*0.559147425</f>
        <v>0</v>
      </c>
      <c r="AP90" s="24">
        <f>G90*(1-0.559147425)</f>
        <v>0</v>
      </c>
      <c r="AQ90" s="26" t="s">
        <v>73</v>
      </c>
      <c r="AV90" s="24">
        <f t="shared" si="150"/>
        <v>0</v>
      </c>
      <c r="AW90" s="24">
        <f t="shared" si="151"/>
        <v>0</v>
      </c>
      <c r="AX90" s="24">
        <f t="shared" si="152"/>
        <v>0</v>
      </c>
      <c r="AY90" s="26" t="s">
        <v>270</v>
      </c>
      <c r="AZ90" s="26" t="s">
        <v>271</v>
      </c>
      <c r="BA90" s="10" t="s">
        <v>52</v>
      </c>
      <c r="BC90" s="24">
        <f t="shared" si="153"/>
        <v>0</v>
      </c>
      <c r="BD90" s="24">
        <f t="shared" si="154"/>
        <v>0</v>
      </c>
      <c r="BE90" s="24">
        <v>0</v>
      </c>
      <c r="BF90" s="24">
        <f>87</f>
        <v>87</v>
      </c>
      <c r="BH90" s="24">
        <f t="shared" si="155"/>
        <v>0</v>
      </c>
      <c r="BI90" s="24">
        <f t="shared" si="156"/>
        <v>0</v>
      </c>
      <c r="BJ90" s="24">
        <f t="shared" si="157"/>
        <v>0</v>
      </c>
      <c r="BK90" s="26" t="s">
        <v>53</v>
      </c>
      <c r="BL90" s="24">
        <v>764</v>
      </c>
      <c r="BW90" s="24">
        <v>21</v>
      </c>
      <c r="BX90" s="4" t="s">
        <v>282</v>
      </c>
    </row>
    <row r="91" spans="1:76" ht="14.4" x14ac:dyDescent="0.3">
      <c r="A91" s="2" t="s">
        <v>283</v>
      </c>
      <c r="B91" s="3" t="s">
        <v>272</v>
      </c>
      <c r="C91" s="82" t="s">
        <v>284</v>
      </c>
      <c r="D91" s="81"/>
      <c r="E91" s="3" t="s">
        <v>91</v>
      </c>
      <c r="F91" s="24">
        <v>42</v>
      </c>
      <c r="G91" s="180">
        <v>0</v>
      </c>
      <c r="H91" s="24">
        <f t="shared" si="136"/>
        <v>0</v>
      </c>
      <c r="I91" s="24">
        <f t="shared" si="137"/>
        <v>0</v>
      </c>
      <c r="J91" s="24">
        <f t="shared" si="138"/>
        <v>0</v>
      </c>
      <c r="K91" s="25"/>
      <c r="Z91" s="24">
        <f t="shared" si="139"/>
        <v>0</v>
      </c>
      <c r="AB91" s="24">
        <f t="shared" si="140"/>
        <v>0</v>
      </c>
      <c r="AC91" s="24">
        <f t="shared" si="141"/>
        <v>0</v>
      </c>
      <c r="AD91" s="24">
        <f t="shared" si="142"/>
        <v>0</v>
      </c>
      <c r="AE91" s="24">
        <f t="shared" si="143"/>
        <v>0</v>
      </c>
      <c r="AF91" s="24">
        <f t="shared" si="144"/>
        <v>0</v>
      </c>
      <c r="AG91" s="24">
        <f t="shared" si="145"/>
        <v>0</v>
      </c>
      <c r="AH91" s="24">
        <f t="shared" si="146"/>
        <v>0</v>
      </c>
      <c r="AI91" s="10" t="s">
        <v>43</v>
      </c>
      <c r="AJ91" s="24">
        <f t="shared" si="147"/>
        <v>0</v>
      </c>
      <c r="AK91" s="24">
        <f t="shared" si="148"/>
        <v>0</v>
      </c>
      <c r="AL91" s="24">
        <f t="shared" si="149"/>
        <v>0</v>
      </c>
      <c r="AN91" s="24">
        <v>21</v>
      </c>
      <c r="AO91" s="24">
        <f>G91*0.431922095</f>
        <v>0</v>
      </c>
      <c r="AP91" s="24">
        <f>G91*(1-0.431922095)</f>
        <v>0</v>
      </c>
      <c r="AQ91" s="26" t="s">
        <v>73</v>
      </c>
      <c r="AV91" s="24">
        <f t="shared" si="150"/>
        <v>0</v>
      </c>
      <c r="AW91" s="24">
        <f t="shared" si="151"/>
        <v>0</v>
      </c>
      <c r="AX91" s="24">
        <f t="shared" si="152"/>
        <v>0</v>
      </c>
      <c r="AY91" s="26" t="s">
        <v>270</v>
      </c>
      <c r="AZ91" s="26" t="s">
        <v>271</v>
      </c>
      <c r="BA91" s="10" t="s">
        <v>52</v>
      </c>
      <c r="BC91" s="24">
        <f t="shared" si="153"/>
        <v>0</v>
      </c>
      <c r="BD91" s="24">
        <f t="shared" si="154"/>
        <v>0</v>
      </c>
      <c r="BE91" s="24">
        <v>0</v>
      </c>
      <c r="BF91" s="24">
        <f>88</f>
        <v>88</v>
      </c>
      <c r="BH91" s="24">
        <f t="shared" si="155"/>
        <v>0</v>
      </c>
      <c r="BI91" s="24">
        <f t="shared" si="156"/>
        <v>0</v>
      </c>
      <c r="BJ91" s="24">
        <f t="shared" si="157"/>
        <v>0</v>
      </c>
      <c r="BK91" s="26" t="s">
        <v>53</v>
      </c>
      <c r="BL91" s="24">
        <v>764</v>
      </c>
      <c r="BW91" s="24">
        <v>21</v>
      </c>
      <c r="BX91" s="4" t="s">
        <v>284</v>
      </c>
    </row>
    <row r="92" spans="1:76" ht="14.4" x14ac:dyDescent="0.3">
      <c r="A92" s="2" t="s">
        <v>285</v>
      </c>
      <c r="B92" s="3" t="s">
        <v>286</v>
      </c>
      <c r="C92" s="82" t="s">
        <v>287</v>
      </c>
      <c r="D92" s="81"/>
      <c r="E92" s="3" t="s">
        <v>215</v>
      </c>
      <c r="F92" s="24">
        <v>716</v>
      </c>
      <c r="G92" s="180">
        <v>0</v>
      </c>
      <c r="H92" s="24">
        <f t="shared" si="136"/>
        <v>0</v>
      </c>
      <c r="I92" s="24">
        <f t="shared" si="137"/>
        <v>0</v>
      </c>
      <c r="J92" s="24">
        <f t="shared" si="138"/>
        <v>0</v>
      </c>
      <c r="K92" s="25"/>
      <c r="Z92" s="24">
        <f t="shared" si="139"/>
        <v>0</v>
      </c>
      <c r="AB92" s="24">
        <f t="shared" si="140"/>
        <v>0</v>
      </c>
      <c r="AC92" s="24">
        <f t="shared" si="141"/>
        <v>0</v>
      </c>
      <c r="AD92" s="24">
        <f t="shared" si="142"/>
        <v>0</v>
      </c>
      <c r="AE92" s="24">
        <f t="shared" si="143"/>
        <v>0</v>
      </c>
      <c r="AF92" s="24">
        <f t="shared" si="144"/>
        <v>0</v>
      </c>
      <c r="AG92" s="24">
        <f t="shared" si="145"/>
        <v>0</v>
      </c>
      <c r="AH92" s="24">
        <f t="shared" si="146"/>
        <v>0</v>
      </c>
      <c r="AI92" s="10" t="s">
        <v>43</v>
      </c>
      <c r="AJ92" s="24">
        <f t="shared" si="147"/>
        <v>0</v>
      </c>
      <c r="AK92" s="24">
        <f t="shared" si="148"/>
        <v>0</v>
      </c>
      <c r="AL92" s="24">
        <f t="shared" si="149"/>
        <v>0</v>
      </c>
      <c r="AN92" s="24">
        <v>21</v>
      </c>
      <c r="AO92" s="24">
        <f>G92*0</f>
        <v>0</v>
      </c>
      <c r="AP92" s="24">
        <f>G92*(1-0)</f>
        <v>0</v>
      </c>
      <c r="AQ92" s="26" t="s">
        <v>64</v>
      </c>
      <c r="AV92" s="24">
        <f t="shared" si="150"/>
        <v>0</v>
      </c>
      <c r="AW92" s="24">
        <f t="shared" si="151"/>
        <v>0</v>
      </c>
      <c r="AX92" s="24">
        <f t="shared" si="152"/>
        <v>0</v>
      </c>
      <c r="AY92" s="26" t="s">
        <v>270</v>
      </c>
      <c r="AZ92" s="26" t="s">
        <v>271</v>
      </c>
      <c r="BA92" s="10" t="s">
        <v>52</v>
      </c>
      <c r="BC92" s="24">
        <f t="shared" si="153"/>
        <v>0</v>
      </c>
      <c r="BD92" s="24">
        <f t="shared" si="154"/>
        <v>0</v>
      </c>
      <c r="BE92" s="24">
        <v>0</v>
      </c>
      <c r="BF92" s="24">
        <f>89</f>
        <v>89</v>
      </c>
      <c r="BH92" s="24">
        <f t="shared" si="155"/>
        <v>0</v>
      </c>
      <c r="BI92" s="24">
        <f t="shared" si="156"/>
        <v>0</v>
      </c>
      <c r="BJ92" s="24">
        <f t="shared" si="157"/>
        <v>0</v>
      </c>
      <c r="BK92" s="26" t="s">
        <v>53</v>
      </c>
      <c r="BL92" s="24">
        <v>764</v>
      </c>
      <c r="BW92" s="24">
        <v>21</v>
      </c>
      <c r="BX92" s="4" t="s">
        <v>287</v>
      </c>
    </row>
    <row r="93" spans="1:76" ht="14.4" x14ac:dyDescent="0.3">
      <c r="A93" s="27" t="s">
        <v>43</v>
      </c>
      <c r="B93" s="28" t="s">
        <v>288</v>
      </c>
      <c r="C93" s="98" t="s">
        <v>289</v>
      </c>
      <c r="D93" s="99"/>
      <c r="E93" s="29" t="s">
        <v>3</v>
      </c>
      <c r="F93" s="29" t="s">
        <v>3</v>
      </c>
      <c r="G93" s="29" t="s">
        <v>3</v>
      </c>
      <c r="H93" s="1">
        <f>ROUND(SUM(H94:H124),2)</f>
        <v>0</v>
      </c>
      <c r="I93" s="1">
        <f>ROUND(SUM(I94:I124),2)</f>
        <v>0</v>
      </c>
      <c r="J93" s="1">
        <f>ROUND(SUM(J94:J124),2)</f>
        <v>0</v>
      </c>
      <c r="K93" s="30"/>
      <c r="AI93" s="10" t="s">
        <v>43</v>
      </c>
      <c r="AS93" s="1">
        <f>SUM(AJ94:AJ124)</f>
        <v>0</v>
      </c>
      <c r="AT93" s="1">
        <f>SUM(AK94:AK124)</f>
        <v>0</v>
      </c>
      <c r="AU93" s="1">
        <f>SUM(AL94:AL124)</f>
        <v>0</v>
      </c>
    </row>
    <row r="94" spans="1:76" ht="14.4" x14ac:dyDescent="0.3">
      <c r="A94" s="2" t="s">
        <v>290</v>
      </c>
      <c r="B94" s="3" t="s">
        <v>291</v>
      </c>
      <c r="C94" s="82" t="s">
        <v>292</v>
      </c>
      <c r="D94" s="81"/>
      <c r="E94" s="3" t="s">
        <v>49</v>
      </c>
      <c r="F94" s="24">
        <v>35.005000000000003</v>
      </c>
      <c r="G94" s="180">
        <v>0</v>
      </c>
      <c r="H94" s="24">
        <f t="shared" ref="H94:H124" si="158">ROUND(F94*AO94,2)</f>
        <v>0</v>
      </c>
      <c r="I94" s="24">
        <f t="shared" ref="I94:I124" si="159">ROUND(F94*AP94,2)</f>
        <v>0</v>
      </c>
      <c r="J94" s="24">
        <f t="shared" ref="J94:J124" si="160">ROUND(F94*G94,2)</f>
        <v>0</v>
      </c>
      <c r="K94" s="25"/>
      <c r="Z94" s="24">
        <f t="shared" ref="Z94:Z124" si="161">ROUND(IF(AQ94="5",BJ94,0),2)</f>
        <v>0</v>
      </c>
      <c r="AB94" s="24">
        <f t="shared" ref="AB94:AB124" si="162">ROUND(IF(AQ94="1",BH94,0),2)</f>
        <v>0</v>
      </c>
      <c r="AC94" s="24">
        <f t="shared" ref="AC94:AC124" si="163">ROUND(IF(AQ94="1",BI94,0),2)</f>
        <v>0</v>
      </c>
      <c r="AD94" s="24">
        <f t="shared" ref="AD94:AD124" si="164">ROUND(IF(AQ94="7",BH94,0),2)</f>
        <v>0</v>
      </c>
      <c r="AE94" s="24">
        <f t="shared" ref="AE94:AE124" si="165">ROUND(IF(AQ94="7",BI94,0),2)</f>
        <v>0</v>
      </c>
      <c r="AF94" s="24">
        <f t="shared" ref="AF94:AF124" si="166">ROUND(IF(AQ94="2",BH94,0),2)</f>
        <v>0</v>
      </c>
      <c r="AG94" s="24">
        <f t="shared" ref="AG94:AG124" si="167">ROUND(IF(AQ94="2",BI94,0),2)</f>
        <v>0</v>
      </c>
      <c r="AH94" s="24">
        <f t="shared" ref="AH94:AH124" si="168">ROUND(IF(AQ94="0",BJ94,0),2)</f>
        <v>0</v>
      </c>
      <c r="AI94" s="10" t="s">
        <v>43</v>
      </c>
      <c r="AJ94" s="24">
        <f t="shared" ref="AJ94:AJ124" si="169">IF(AN94=0,J94,0)</f>
        <v>0</v>
      </c>
      <c r="AK94" s="24">
        <f t="shared" ref="AK94:AK124" si="170">IF(AN94=12,J94,0)</f>
        <v>0</v>
      </c>
      <c r="AL94" s="24">
        <f t="shared" ref="AL94:AL124" si="171">IF(AN94=21,J94,0)</f>
        <v>0</v>
      </c>
      <c r="AN94" s="24">
        <v>21</v>
      </c>
      <c r="AO94" s="24">
        <f>G94*0.101262834</f>
        <v>0</v>
      </c>
      <c r="AP94" s="24">
        <f>G94*(1-0.101262834)</f>
        <v>0</v>
      </c>
      <c r="AQ94" s="26" t="s">
        <v>73</v>
      </c>
      <c r="AV94" s="24">
        <f t="shared" ref="AV94:AV124" si="172">ROUND(AW94+AX94,2)</f>
        <v>0</v>
      </c>
      <c r="AW94" s="24">
        <f t="shared" ref="AW94:AW124" si="173">ROUND(F94*AO94,2)</f>
        <v>0</v>
      </c>
      <c r="AX94" s="24">
        <f t="shared" ref="AX94:AX124" si="174">ROUND(F94*AP94,2)</f>
        <v>0</v>
      </c>
      <c r="AY94" s="26" t="s">
        <v>293</v>
      </c>
      <c r="AZ94" s="26" t="s">
        <v>271</v>
      </c>
      <c r="BA94" s="10" t="s">
        <v>52</v>
      </c>
      <c r="BC94" s="24">
        <f t="shared" ref="BC94:BC124" si="175">AW94+AX94</f>
        <v>0</v>
      </c>
      <c r="BD94" s="24">
        <f t="shared" ref="BD94:BD124" si="176">G94/(100-BE94)*100</f>
        <v>0</v>
      </c>
      <c r="BE94" s="24">
        <v>0</v>
      </c>
      <c r="BF94" s="24">
        <f>91</f>
        <v>91</v>
      </c>
      <c r="BH94" s="24">
        <f t="shared" ref="BH94:BH124" si="177">F94*AO94</f>
        <v>0</v>
      </c>
      <c r="BI94" s="24">
        <f t="shared" ref="BI94:BI124" si="178">F94*AP94</f>
        <v>0</v>
      </c>
      <c r="BJ94" s="24">
        <f t="shared" ref="BJ94:BJ124" si="179">F94*G94</f>
        <v>0</v>
      </c>
      <c r="BK94" s="26" t="s">
        <v>53</v>
      </c>
      <c r="BL94" s="24">
        <v>767</v>
      </c>
      <c r="BW94" s="24">
        <v>21</v>
      </c>
      <c r="BX94" s="4" t="s">
        <v>292</v>
      </c>
    </row>
    <row r="95" spans="1:76" ht="14.4" x14ac:dyDescent="0.3">
      <c r="A95" s="2" t="s">
        <v>294</v>
      </c>
      <c r="B95" s="3" t="s">
        <v>295</v>
      </c>
      <c r="C95" s="82" t="s">
        <v>296</v>
      </c>
      <c r="D95" s="81"/>
      <c r="E95" s="3" t="s">
        <v>49</v>
      </c>
      <c r="F95" s="24">
        <v>42</v>
      </c>
      <c r="G95" s="180">
        <v>0</v>
      </c>
      <c r="H95" s="24">
        <f t="shared" si="158"/>
        <v>0</v>
      </c>
      <c r="I95" s="24">
        <f t="shared" si="159"/>
        <v>0</v>
      </c>
      <c r="J95" s="24">
        <f t="shared" si="160"/>
        <v>0</v>
      </c>
      <c r="K95" s="25"/>
      <c r="Z95" s="24">
        <f t="shared" si="161"/>
        <v>0</v>
      </c>
      <c r="AB95" s="24">
        <f t="shared" si="162"/>
        <v>0</v>
      </c>
      <c r="AC95" s="24">
        <f t="shared" si="163"/>
        <v>0</v>
      </c>
      <c r="AD95" s="24">
        <f t="shared" si="164"/>
        <v>0</v>
      </c>
      <c r="AE95" s="24">
        <f t="shared" si="165"/>
        <v>0</v>
      </c>
      <c r="AF95" s="24">
        <f t="shared" si="166"/>
        <v>0</v>
      </c>
      <c r="AG95" s="24">
        <f t="shared" si="167"/>
        <v>0</v>
      </c>
      <c r="AH95" s="24">
        <f t="shared" si="168"/>
        <v>0</v>
      </c>
      <c r="AI95" s="10" t="s">
        <v>43</v>
      </c>
      <c r="AJ95" s="24">
        <f t="shared" si="169"/>
        <v>0</v>
      </c>
      <c r="AK95" s="24">
        <f t="shared" si="170"/>
        <v>0</v>
      </c>
      <c r="AL95" s="24">
        <f t="shared" si="171"/>
        <v>0</v>
      </c>
      <c r="AN95" s="24">
        <v>21</v>
      </c>
      <c r="AO95" s="24">
        <f>G95*1</f>
        <v>0</v>
      </c>
      <c r="AP95" s="24">
        <f>G95*(1-1)</f>
        <v>0</v>
      </c>
      <c r="AQ95" s="26" t="s">
        <v>73</v>
      </c>
      <c r="AV95" s="24">
        <f t="shared" si="172"/>
        <v>0</v>
      </c>
      <c r="AW95" s="24">
        <f t="shared" si="173"/>
        <v>0</v>
      </c>
      <c r="AX95" s="24">
        <f t="shared" si="174"/>
        <v>0</v>
      </c>
      <c r="AY95" s="26" t="s">
        <v>293</v>
      </c>
      <c r="AZ95" s="26" t="s">
        <v>271</v>
      </c>
      <c r="BA95" s="10" t="s">
        <v>52</v>
      </c>
      <c r="BC95" s="24">
        <f t="shared" si="175"/>
        <v>0</v>
      </c>
      <c r="BD95" s="24">
        <f t="shared" si="176"/>
        <v>0</v>
      </c>
      <c r="BE95" s="24">
        <v>0</v>
      </c>
      <c r="BF95" s="24">
        <f>92</f>
        <v>92</v>
      </c>
      <c r="BH95" s="24">
        <f t="shared" si="177"/>
        <v>0</v>
      </c>
      <c r="BI95" s="24">
        <f t="shared" si="178"/>
        <v>0</v>
      </c>
      <c r="BJ95" s="24">
        <f t="shared" si="179"/>
        <v>0</v>
      </c>
      <c r="BK95" s="26" t="s">
        <v>103</v>
      </c>
      <c r="BL95" s="24">
        <v>767</v>
      </c>
      <c r="BW95" s="24">
        <v>21</v>
      </c>
      <c r="BX95" s="4" t="s">
        <v>296</v>
      </c>
    </row>
    <row r="96" spans="1:76" ht="14.4" x14ac:dyDescent="0.3">
      <c r="A96" s="2" t="s">
        <v>297</v>
      </c>
      <c r="B96" s="3" t="s">
        <v>298</v>
      </c>
      <c r="C96" s="82" t="s">
        <v>299</v>
      </c>
      <c r="D96" s="81"/>
      <c r="E96" s="3" t="s">
        <v>49</v>
      </c>
      <c r="F96" s="24">
        <v>43.405000000000001</v>
      </c>
      <c r="G96" s="180">
        <v>0</v>
      </c>
      <c r="H96" s="24">
        <f t="shared" si="158"/>
        <v>0</v>
      </c>
      <c r="I96" s="24">
        <f t="shared" si="159"/>
        <v>0</v>
      </c>
      <c r="J96" s="24">
        <f t="shared" si="160"/>
        <v>0</v>
      </c>
      <c r="K96" s="25"/>
      <c r="Z96" s="24">
        <f t="shared" si="161"/>
        <v>0</v>
      </c>
      <c r="AB96" s="24">
        <f t="shared" si="162"/>
        <v>0</v>
      </c>
      <c r="AC96" s="24">
        <f t="shared" si="163"/>
        <v>0</v>
      </c>
      <c r="AD96" s="24">
        <f t="shared" si="164"/>
        <v>0</v>
      </c>
      <c r="AE96" s="24">
        <f t="shared" si="165"/>
        <v>0</v>
      </c>
      <c r="AF96" s="24">
        <f t="shared" si="166"/>
        <v>0</v>
      </c>
      <c r="AG96" s="24">
        <f t="shared" si="167"/>
        <v>0</v>
      </c>
      <c r="AH96" s="24">
        <f t="shared" si="168"/>
        <v>0</v>
      </c>
      <c r="AI96" s="10" t="s">
        <v>43</v>
      </c>
      <c r="AJ96" s="24">
        <f t="shared" si="169"/>
        <v>0</v>
      </c>
      <c r="AK96" s="24">
        <f t="shared" si="170"/>
        <v>0</v>
      </c>
      <c r="AL96" s="24">
        <f t="shared" si="171"/>
        <v>0</v>
      </c>
      <c r="AN96" s="24">
        <v>21</v>
      </c>
      <c r="AO96" s="24">
        <f>G96*0.509926735</f>
        <v>0</v>
      </c>
      <c r="AP96" s="24">
        <f>G96*(1-0.509926735)</f>
        <v>0</v>
      </c>
      <c r="AQ96" s="26" t="s">
        <v>73</v>
      </c>
      <c r="AV96" s="24">
        <f t="shared" si="172"/>
        <v>0</v>
      </c>
      <c r="AW96" s="24">
        <f t="shared" si="173"/>
        <v>0</v>
      </c>
      <c r="AX96" s="24">
        <f t="shared" si="174"/>
        <v>0</v>
      </c>
      <c r="AY96" s="26" t="s">
        <v>293</v>
      </c>
      <c r="AZ96" s="26" t="s">
        <v>271</v>
      </c>
      <c r="BA96" s="10" t="s">
        <v>52</v>
      </c>
      <c r="BC96" s="24">
        <f t="shared" si="175"/>
        <v>0</v>
      </c>
      <c r="BD96" s="24">
        <f t="shared" si="176"/>
        <v>0</v>
      </c>
      <c r="BE96" s="24">
        <v>0</v>
      </c>
      <c r="BF96" s="24">
        <f>93</f>
        <v>93</v>
      </c>
      <c r="BH96" s="24">
        <f t="shared" si="177"/>
        <v>0</v>
      </c>
      <c r="BI96" s="24">
        <f t="shared" si="178"/>
        <v>0</v>
      </c>
      <c r="BJ96" s="24">
        <f t="shared" si="179"/>
        <v>0</v>
      </c>
      <c r="BK96" s="26" t="s">
        <v>53</v>
      </c>
      <c r="BL96" s="24">
        <v>767</v>
      </c>
      <c r="BW96" s="24">
        <v>21</v>
      </c>
      <c r="BX96" s="4" t="s">
        <v>299</v>
      </c>
    </row>
    <row r="97" spans="1:76" ht="14.4" x14ac:dyDescent="0.3">
      <c r="A97" s="2" t="s">
        <v>300</v>
      </c>
      <c r="B97" s="3" t="s">
        <v>301</v>
      </c>
      <c r="C97" s="82" t="s">
        <v>302</v>
      </c>
      <c r="D97" s="81"/>
      <c r="E97" s="3" t="s">
        <v>91</v>
      </c>
      <c r="F97" s="24">
        <v>24.2</v>
      </c>
      <c r="G97" s="180">
        <v>0</v>
      </c>
      <c r="H97" s="24">
        <f t="shared" si="158"/>
        <v>0</v>
      </c>
      <c r="I97" s="24">
        <f t="shared" si="159"/>
        <v>0</v>
      </c>
      <c r="J97" s="24">
        <f t="shared" si="160"/>
        <v>0</v>
      </c>
      <c r="K97" s="25"/>
      <c r="Z97" s="24">
        <f t="shared" si="161"/>
        <v>0</v>
      </c>
      <c r="AB97" s="24">
        <f t="shared" si="162"/>
        <v>0</v>
      </c>
      <c r="AC97" s="24">
        <f t="shared" si="163"/>
        <v>0</v>
      </c>
      <c r="AD97" s="24">
        <f t="shared" si="164"/>
        <v>0</v>
      </c>
      <c r="AE97" s="24">
        <f t="shared" si="165"/>
        <v>0</v>
      </c>
      <c r="AF97" s="24">
        <f t="shared" si="166"/>
        <v>0</v>
      </c>
      <c r="AG97" s="24">
        <f t="shared" si="167"/>
        <v>0</v>
      </c>
      <c r="AH97" s="24">
        <f t="shared" si="168"/>
        <v>0</v>
      </c>
      <c r="AI97" s="10" t="s">
        <v>43</v>
      </c>
      <c r="AJ97" s="24">
        <f t="shared" si="169"/>
        <v>0</v>
      </c>
      <c r="AK97" s="24">
        <f t="shared" si="170"/>
        <v>0</v>
      </c>
      <c r="AL97" s="24">
        <f t="shared" si="171"/>
        <v>0</v>
      </c>
      <c r="AN97" s="24">
        <v>21</v>
      </c>
      <c r="AO97" s="24">
        <f>G97*0.250498485</f>
        <v>0</v>
      </c>
      <c r="AP97" s="24">
        <f>G97*(1-0.250498485)</f>
        <v>0</v>
      </c>
      <c r="AQ97" s="26" t="s">
        <v>73</v>
      </c>
      <c r="AV97" s="24">
        <f t="shared" si="172"/>
        <v>0</v>
      </c>
      <c r="AW97" s="24">
        <f t="shared" si="173"/>
        <v>0</v>
      </c>
      <c r="AX97" s="24">
        <f t="shared" si="174"/>
        <v>0</v>
      </c>
      <c r="AY97" s="26" t="s">
        <v>293</v>
      </c>
      <c r="AZ97" s="26" t="s">
        <v>271</v>
      </c>
      <c r="BA97" s="10" t="s">
        <v>52</v>
      </c>
      <c r="BC97" s="24">
        <f t="shared" si="175"/>
        <v>0</v>
      </c>
      <c r="BD97" s="24">
        <f t="shared" si="176"/>
        <v>0</v>
      </c>
      <c r="BE97" s="24">
        <v>0</v>
      </c>
      <c r="BF97" s="24">
        <f>94</f>
        <v>94</v>
      </c>
      <c r="BH97" s="24">
        <f t="shared" si="177"/>
        <v>0</v>
      </c>
      <c r="BI97" s="24">
        <f t="shared" si="178"/>
        <v>0</v>
      </c>
      <c r="BJ97" s="24">
        <f t="shared" si="179"/>
        <v>0</v>
      </c>
      <c r="BK97" s="26" t="s">
        <v>53</v>
      </c>
      <c r="BL97" s="24">
        <v>767</v>
      </c>
      <c r="BW97" s="24">
        <v>21</v>
      </c>
      <c r="BX97" s="4" t="s">
        <v>302</v>
      </c>
    </row>
    <row r="98" spans="1:76" ht="14.4" x14ac:dyDescent="0.3">
      <c r="A98" s="2" t="s">
        <v>303</v>
      </c>
      <c r="B98" s="3" t="s">
        <v>304</v>
      </c>
      <c r="C98" s="82" t="s">
        <v>305</v>
      </c>
      <c r="D98" s="81"/>
      <c r="E98" s="3" t="s">
        <v>49</v>
      </c>
      <c r="F98" s="24">
        <v>108.60420000000001</v>
      </c>
      <c r="G98" s="180">
        <v>0</v>
      </c>
      <c r="H98" s="24">
        <f t="shared" si="158"/>
        <v>0</v>
      </c>
      <c r="I98" s="24">
        <f t="shared" si="159"/>
        <v>0</v>
      </c>
      <c r="J98" s="24">
        <f t="shared" si="160"/>
        <v>0</v>
      </c>
      <c r="K98" s="25"/>
      <c r="Z98" s="24">
        <f t="shared" si="161"/>
        <v>0</v>
      </c>
      <c r="AB98" s="24">
        <f t="shared" si="162"/>
        <v>0</v>
      </c>
      <c r="AC98" s="24">
        <f t="shared" si="163"/>
        <v>0</v>
      </c>
      <c r="AD98" s="24">
        <f t="shared" si="164"/>
        <v>0</v>
      </c>
      <c r="AE98" s="24">
        <f t="shared" si="165"/>
        <v>0</v>
      </c>
      <c r="AF98" s="24">
        <f t="shared" si="166"/>
        <v>0</v>
      </c>
      <c r="AG98" s="24">
        <f t="shared" si="167"/>
        <v>0</v>
      </c>
      <c r="AH98" s="24">
        <f t="shared" si="168"/>
        <v>0</v>
      </c>
      <c r="AI98" s="10" t="s">
        <v>43</v>
      </c>
      <c r="AJ98" s="24">
        <f t="shared" si="169"/>
        <v>0</v>
      </c>
      <c r="AK98" s="24">
        <f t="shared" si="170"/>
        <v>0</v>
      </c>
      <c r="AL98" s="24">
        <f t="shared" si="171"/>
        <v>0</v>
      </c>
      <c r="AN98" s="24">
        <v>21</v>
      </c>
      <c r="AO98" s="24">
        <f>G98*0.217207047</f>
        <v>0</v>
      </c>
      <c r="AP98" s="24">
        <f>G98*(1-0.217207047)</f>
        <v>0</v>
      </c>
      <c r="AQ98" s="26" t="s">
        <v>73</v>
      </c>
      <c r="AV98" s="24">
        <f t="shared" si="172"/>
        <v>0</v>
      </c>
      <c r="AW98" s="24">
        <f t="shared" si="173"/>
        <v>0</v>
      </c>
      <c r="AX98" s="24">
        <f t="shared" si="174"/>
        <v>0</v>
      </c>
      <c r="AY98" s="26" t="s">
        <v>293</v>
      </c>
      <c r="AZ98" s="26" t="s">
        <v>271</v>
      </c>
      <c r="BA98" s="10" t="s">
        <v>52</v>
      </c>
      <c r="BC98" s="24">
        <f t="shared" si="175"/>
        <v>0</v>
      </c>
      <c r="BD98" s="24">
        <f t="shared" si="176"/>
        <v>0</v>
      </c>
      <c r="BE98" s="24">
        <v>0</v>
      </c>
      <c r="BF98" s="24">
        <f>95</f>
        <v>95</v>
      </c>
      <c r="BH98" s="24">
        <f t="shared" si="177"/>
        <v>0</v>
      </c>
      <c r="BI98" s="24">
        <f t="shared" si="178"/>
        <v>0</v>
      </c>
      <c r="BJ98" s="24">
        <f t="shared" si="179"/>
        <v>0</v>
      </c>
      <c r="BK98" s="26" t="s">
        <v>53</v>
      </c>
      <c r="BL98" s="24">
        <v>767</v>
      </c>
      <c r="BW98" s="24">
        <v>21</v>
      </c>
      <c r="BX98" s="4" t="s">
        <v>305</v>
      </c>
    </row>
    <row r="99" spans="1:76" ht="14.4" x14ac:dyDescent="0.3">
      <c r="A99" s="2" t="s">
        <v>306</v>
      </c>
      <c r="B99" s="3" t="s">
        <v>307</v>
      </c>
      <c r="C99" s="82" t="s">
        <v>308</v>
      </c>
      <c r="D99" s="81"/>
      <c r="E99" s="3" t="s">
        <v>261</v>
      </c>
      <c r="F99" s="24">
        <v>1.5833699999999999</v>
      </c>
      <c r="G99" s="180">
        <v>0</v>
      </c>
      <c r="H99" s="24">
        <f t="shared" si="158"/>
        <v>0</v>
      </c>
      <c r="I99" s="24">
        <f t="shared" si="159"/>
        <v>0</v>
      </c>
      <c r="J99" s="24">
        <f t="shared" si="160"/>
        <v>0</v>
      </c>
      <c r="K99" s="25"/>
      <c r="Z99" s="24">
        <f t="shared" si="161"/>
        <v>0</v>
      </c>
      <c r="AB99" s="24">
        <f t="shared" si="162"/>
        <v>0</v>
      </c>
      <c r="AC99" s="24">
        <f t="shared" si="163"/>
        <v>0</v>
      </c>
      <c r="AD99" s="24">
        <f t="shared" si="164"/>
        <v>0</v>
      </c>
      <c r="AE99" s="24">
        <f t="shared" si="165"/>
        <v>0</v>
      </c>
      <c r="AF99" s="24">
        <f t="shared" si="166"/>
        <v>0</v>
      </c>
      <c r="AG99" s="24">
        <f t="shared" si="167"/>
        <v>0</v>
      </c>
      <c r="AH99" s="24">
        <f t="shared" si="168"/>
        <v>0</v>
      </c>
      <c r="AI99" s="10" t="s">
        <v>43</v>
      </c>
      <c r="AJ99" s="24">
        <f t="shared" si="169"/>
        <v>0</v>
      </c>
      <c r="AK99" s="24">
        <f t="shared" si="170"/>
        <v>0</v>
      </c>
      <c r="AL99" s="24">
        <f t="shared" si="171"/>
        <v>0</v>
      </c>
      <c r="AN99" s="24">
        <v>21</v>
      </c>
      <c r="AO99" s="24">
        <f>G99*1</f>
        <v>0</v>
      </c>
      <c r="AP99" s="24">
        <f>G99*(1-1)</f>
        <v>0</v>
      </c>
      <c r="AQ99" s="26" t="s">
        <v>73</v>
      </c>
      <c r="AV99" s="24">
        <f t="shared" si="172"/>
        <v>0</v>
      </c>
      <c r="AW99" s="24">
        <f t="shared" si="173"/>
        <v>0</v>
      </c>
      <c r="AX99" s="24">
        <f t="shared" si="174"/>
        <v>0</v>
      </c>
      <c r="AY99" s="26" t="s">
        <v>293</v>
      </c>
      <c r="AZ99" s="26" t="s">
        <v>271</v>
      </c>
      <c r="BA99" s="10" t="s">
        <v>52</v>
      </c>
      <c r="BC99" s="24">
        <f t="shared" si="175"/>
        <v>0</v>
      </c>
      <c r="BD99" s="24">
        <f t="shared" si="176"/>
        <v>0</v>
      </c>
      <c r="BE99" s="24">
        <v>0</v>
      </c>
      <c r="BF99" s="24">
        <f>96</f>
        <v>96</v>
      </c>
      <c r="BH99" s="24">
        <f t="shared" si="177"/>
        <v>0</v>
      </c>
      <c r="BI99" s="24">
        <f t="shared" si="178"/>
        <v>0</v>
      </c>
      <c r="BJ99" s="24">
        <f t="shared" si="179"/>
        <v>0</v>
      </c>
      <c r="BK99" s="26" t="s">
        <v>103</v>
      </c>
      <c r="BL99" s="24">
        <v>767</v>
      </c>
      <c r="BW99" s="24">
        <v>21</v>
      </c>
      <c r="BX99" s="4" t="s">
        <v>308</v>
      </c>
    </row>
    <row r="100" spans="1:76" ht="14.4" x14ac:dyDescent="0.3">
      <c r="A100" s="2" t="s">
        <v>309</v>
      </c>
      <c r="B100" s="3" t="s">
        <v>310</v>
      </c>
      <c r="C100" s="82" t="s">
        <v>311</v>
      </c>
      <c r="D100" s="81"/>
      <c r="E100" s="3" t="s">
        <v>49</v>
      </c>
      <c r="F100" s="24">
        <v>24.1416</v>
      </c>
      <c r="G100" s="180">
        <v>0</v>
      </c>
      <c r="H100" s="24">
        <f t="shared" si="158"/>
        <v>0</v>
      </c>
      <c r="I100" s="24">
        <f t="shared" si="159"/>
        <v>0</v>
      </c>
      <c r="J100" s="24">
        <f t="shared" si="160"/>
        <v>0</v>
      </c>
      <c r="K100" s="25"/>
      <c r="Z100" s="24">
        <f t="shared" si="161"/>
        <v>0</v>
      </c>
      <c r="AB100" s="24">
        <f t="shared" si="162"/>
        <v>0</v>
      </c>
      <c r="AC100" s="24">
        <f t="shared" si="163"/>
        <v>0</v>
      </c>
      <c r="AD100" s="24">
        <f t="shared" si="164"/>
        <v>0</v>
      </c>
      <c r="AE100" s="24">
        <f t="shared" si="165"/>
        <v>0</v>
      </c>
      <c r="AF100" s="24">
        <f t="shared" si="166"/>
        <v>0</v>
      </c>
      <c r="AG100" s="24">
        <f t="shared" si="167"/>
        <v>0</v>
      </c>
      <c r="AH100" s="24">
        <f t="shared" si="168"/>
        <v>0</v>
      </c>
      <c r="AI100" s="10" t="s">
        <v>43</v>
      </c>
      <c r="AJ100" s="24">
        <f t="shared" si="169"/>
        <v>0</v>
      </c>
      <c r="AK100" s="24">
        <f t="shared" si="170"/>
        <v>0</v>
      </c>
      <c r="AL100" s="24">
        <f t="shared" si="171"/>
        <v>0</v>
      </c>
      <c r="AN100" s="24">
        <v>21</v>
      </c>
      <c r="AO100" s="24">
        <f>G100*0.934782609</f>
        <v>0</v>
      </c>
      <c r="AP100" s="24">
        <f>G100*(1-0.934782609)</f>
        <v>0</v>
      </c>
      <c r="AQ100" s="26" t="s">
        <v>73</v>
      </c>
      <c r="AV100" s="24">
        <f t="shared" si="172"/>
        <v>0</v>
      </c>
      <c r="AW100" s="24">
        <f t="shared" si="173"/>
        <v>0</v>
      </c>
      <c r="AX100" s="24">
        <f t="shared" si="174"/>
        <v>0</v>
      </c>
      <c r="AY100" s="26" t="s">
        <v>293</v>
      </c>
      <c r="AZ100" s="26" t="s">
        <v>271</v>
      </c>
      <c r="BA100" s="10" t="s">
        <v>52</v>
      </c>
      <c r="BC100" s="24">
        <f t="shared" si="175"/>
        <v>0</v>
      </c>
      <c r="BD100" s="24">
        <f t="shared" si="176"/>
        <v>0</v>
      </c>
      <c r="BE100" s="24">
        <v>0</v>
      </c>
      <c r="BF100" s="24">
        <f>97</f>
        <v>97</v>
      </c>
      <c r="BH100" s="24">
        <f t="shared" si="177"/>
        <v>0</v>
      </c>
      <c r="BI100" s="24">
        <f t="shared" si="178"/>
        <v>0</v>
      </c>
      <c r="BJ100" s="24">
        <f t="shared" si="179"/>
        <v>0</v>
      </c>
      <c r="BK100" s="26" t="s">
        <v>53</v>
      </c>
      <c r="BL100" s="24">
        <v>767</v>
      </c>
      <c r="BW100" s="24">
        <v>21</v>
      </c>
      <c r="BX100" s="4" t="s">
        <v>311</v>
      </c>
    </row>
    <row r="101" spans="1:76" ht="14.4" x14ac:dyDescent="0.3">
      <c r="A101" s="2" t="s">
        <v>312</v>
      </c>
      <c r="B101" s="3" t="s">
        <v>313</v>
      </c>
      <c r="C101" s="82" t="s">
        <v>314</v>
      </c>
      <c r="D101" s="81"/>
      <c r="E101" s="3" t="s">
        <v>91</v>
      </c>
      <c r="F101" s="24">
        <v>8.5</v>
      </c>
      <c r="G101" s="180">
        <v>0</v>
      </c>
      <c r="H101" s="24">
        <f t="shared" si="158"/>
        <v>0</v>
      </c>
      <c r="I101" s="24">
        <f t="shared" si="159"/>
        <v>0</v>
      </c>
      <c r="J101" s="24">
        <f t="shared" si="160"/>
        <v>0</v>
      </c>
      <c r="K101" s="25"/>
      <c r="Z101" s="24">
        <f t="shared" si="161"/>
        <v>0</v>
      </c>
      <c r="AB101" s="24">
        <f t="shared" si="162"/>
        <v>0</v>
      </c>
      <c r="AC101" s="24">
        <f t="shared" si="163"/>
        <v>0</v>
      </c>
      <c r="AD101" s="24">
        <f t="shared" si="164"/>
        <v>0</v>
      </c>
      <c r="AE101" s="24">
        <f t="shared" si="165"/>
        <v>0</v>
      </c>
      <c r="AF101" s="24">
        <f t="shared" si="166"/>
        <v>0</v>
      </c>
      <c r="AG101" s="24">
        <f t="shared" si="167"/>
        <v>0</v>
      </c>
      <c r="AH101" s="24">
        <f t="shared" si="168"/>
        <v>0</v>
      </c>
      <c r="AI101" s="10" t="s">
        <v>43</v>
      </c>
      <c r="AJ101" s="24">
        <f t="shared" si="169"/>
        <v>0</v>
      </c>
      <c r="AK101" s="24">
        <f t="shared" si="170"/>
        <v>0</v>
      </c>
      <c r="AL101" s="24">
        <f t="shared" si="171"/>
        <v>0</v>
      </c>
      <c r="AN101" s="24">
        <v>21</v>
      </c>
      <c r="AO101" s="24">
        <f>G101*0.043502825</f>
        <v>0</v>
      </c>
      <c r="AP101" s="24">
        <f>G101*(1-0.043502825)</f>
        <v>0</v>
      </c>
      <c r="AQ101" s="26" t="s">
        <v>73</v>
      </c>
      <c r="AV101" s="24">
        <f t="shared" si="172"/>
        <v>0</v>
      </c>
      <c r="AW101" s="24">
        <f t="shared" si="173"/>
        <v>0</v>
      </c>
      <c r="AX101" s="24">
        <f t="shared" si="174"/>
        <v>0</v>
      </c>
      <c r="AY101" s="26" t="s">
        <v>293</v>
      </c>
      <c r="AZ101" s="26" t="s">
        <v>271</v>
      </c>
      <c r="BA101" s="10" t="s">
        <v>52</v>
      </c>
      <c r="BC101" s="24">
        <f t="shared" si="175"/>
        <v>0</v>
      </c>
      <c r="BD101" s="24">
        <f t="shared" si="176"/>
        <v>0</v>
      </c>
      <c r="BE101" s="24">
        <v>0</v>
      </c>
      <c r="BF101" s="24">
        <f>98</f>
        <v>98</v>
      </c>
      <c r="BH101" s="24">
        <f t="shared" si="177"/>
        <v>0</v>
      </c>
      <c r="BI101" s="24">
        <f t="shared" si="178"/>
        <v>0</v>
      </c>
      <c r="BJ101" s="24">
        <f t="shared" si="179"/>
        <v>0</v>
      </c>
      <c r="BK101" s="26" t="s">
        <v>53</v>
      </c>
      <c r="BL101" s="24">
        <v>767</v>
      </c>
      <c r="BW101" s="24">
        <v>21</v>
      </c>
      <c r="BX101" s="4" t="s">
        <v>314</v>
      </c>
    </row>
    <row r="102" spans="1:76" ht="14.4" x14ac:dyDescent="0.3">
      <c r="A102" s="2" t="s">
        <v>315</v>
      </c>
      <c r="B102" s="3" t="s">
        <v>316</v>
      </c>
      <c r="C102" s="82" t="s">
        <v>317</v>
      </c>
      <c r="D102" s="81"/>
      <c r="E102" s="3" t="s">
        <v>261</v>
      </c>
      <c r="F102" s="24">
        <v>0.26954</v>
      </c>
      <c r="G102" s="180">
        <v>0</v>
      </c>
      <c r="H102" s="24">
        <f t="shared" si="158"/>
        <v>0</v>
      </c>
      <c r="I102" s="24">
        <f t="shared" si="159"/>
        <v>0</v>
      </c>
      <c r="J102" s="24">
        <f t="shared" si="160"/>
        <v>0</v>
      </c>
      <c r="K102" s="25"/>
      <c r="Z102" s="24">
        <f t="shared" si="161"/>
        <v>0</v>
      </c>
      <c r="AB102" s="24">
        <f t="shared" si="162"/>
        <v>0</v>
      </c>
      <c r="AC102" s="24">
        <f t="shared" si="163"/>
        <v>0</v>
      </c>
      <c r="AD102" s="24">
        <f t="shared" si="164"/>
        <v>0</v>
      </c>
      <c r="AE102" s="24">
        <f t="shared" si="165"/>
        <v>0</v>
      </c>
      <c r="AF102" s="24">
        <f t="shared" si="166"/>
        <v>0</v>
      </c>
      <c r="AG102" s="24">
        <f t="shared" si="167"/>
        <v>0</v>
      </c>
      <c r="AH102" s="24">
        <f t="shared" si="168"/>
        <v>0</v>
      </c>
      <c r="AI102" s="10" t="s">
        <v>43</v>
      </c>
      <c r="AJ102" s="24">
        <f t="shared" si="169"/>
        <v>0</v>
      </c>
      <c r="AK102" s="24">
        <f t="shared" si="170"/>
        <v>0</v>
      </c>
      <c r="AL102" s="24">
        <f t="shared" si="171"/>
        <v>0</v>
      </c>
      <c r="AN102" s="24">
        <v>21</v>
      </c>
      <c r="AO102" s="24">
        <f>G102*1</f>
        <v>0</v>
      </c>
      <c r="AP102" s="24">
        <f>G102*(1-1)</f>
        <v>0</v>
      </c>
      <c r="AQ102" s="26" t="s">
        <v>73</v>
      </c>
      <c r="AV102" s="24">
        <f t="shared" si="172"/>
        <v>0</v>
      </c>
      <c r="AW102" s="24">
        <f t="shared" si="173"/>
        <v>0</v>
      </c>
      <c r="AX102" s="24">
        <f t="shared" si="174"/>
        <v>0</v>
      </c>
      <c r="AY102" s="26" t="s">
        <v>293</v>
      </c>
      <c r="AZ102" s="26" t="s">
        <v>271</v>
      </c>
      <c r="BA102" s="10" t="s">
        <v>52</v>
      </c>
      <c r="BC102" s="24">
        <f t="shared" si="175"/>
        <v>0</v>
      </c>
      <c r="BD102" s="24">
        <f t="shared" si="176"/>
        <v>0</v>
      </c>
      <c r="BE102" s="24">
        <v>0</v>
      </c>
      <c r="BF102" s="24">
        <f>99</f>
        <v>99</v>
      </c>
      <c r="BH102" s="24">
        <f t="shared" si="177"/>
        <v>0</v>
      </c>
      <c r="BI102" s="24">
        <f t="shared" si="178"/>
        <v>0</v>
      </c>
      <c r="BJ102" s="24">
        <f t="shared" si="179"/>
        <v>0</v>
      </c>
      <c r="BK102" s="26" t="s">
        <v>103</v>
      </c>
      <c r="BL102" s="24">
        <v>767</v>
      </c>
      <c r="BW102" s="24">
        <v>21</v>
      </c>
      <c r="BX102" s="4" t="s">
        <v>317</v>
      </c>
    </row>
    <row r="103" spans="1:76" ht="14.4" x14ac:dyDescent="0.3">
      <c r="A103" s="2" t="s">
        <v>318</v>
      </c>
      <c r="B103" s="3" t="s">
        <v>319</v>
      </c>
      <c r="C103" s="82" t="s">
        <v>320</v>
      </c>
      <c r="D103" s="81"/>
      <c r="E103" s="3" t="s">
        <v>321</v>
      </c>
      <c r="F103" s="24">
        <v>13310</v>
      </c>
      <c r="G103" s="180">
        <v>0</v>
      </c>
      <c r="H103" s="24">
        <f t="shared" si="158"/>
        <v>0</v>
      </c>
      <c r="I103" s="24">
        <f t="shared" si="159"/>
        <v>0</v>
      </c>
      <c r="J103" s="24">
        <f t="shared" si="160"/>
        <v>0</v>
      </c>
      <c r="K103" s="25"/>
      <c r="Z103" s="24">
        <f t="shared" si="161"/>
        <v>0</v>
      </c>
      <c r="AB103" s="24">
        <f t="shared" si="162"/>
        <v>0</v>
      </c>
      <c r="AC103" s="24">
        <f t="shared" si="163"/>
        <v>0</v>
      </c>
      <c r="AD103" s="24">
        <f t="shared" si="164"/>
        <v>0</v>
      </c>
      <c r="AE103" s="24">
        <f t="shared" si="165"/>
        <v>0</v>
      </c>
      <c r="AF103" s="24">
        <f t="shared" si="166"/>
        <v>0</v>
      </c>
      <c r="AG103" s="24">
        <f t="shared" si="167"/>
        <v>0</v>
      </c>
      <c r="AH103" s="24">
        <f t="shared" si="168"/>
        <v>0</v>
      </c>
      <c r="AI103" s="10" t="s">
        <v>43</v>
      </c>
      <c r="AJ103" s="24">
        <f t="shared" si="169"/>
        <v>0</v>
      </c>
      <c r="AK103" s="24">
        <f t="shared" si="170"/>
        <v>0</v>
      </c>
      <c r="AL103" s="24">
        <f t="shared" si="171"/>
        <v>0</v>
      </c>
      <c r="AN103" s="24">
        <v>21</v>
      </c>
      <c r="AO103" s="24">
        <f>G103*0.144910962</f>
        <v>0</v>
      </c>
      <c r="AP103" s="24">
        <f>G103*(1-0.144910962)</f>
        <v>0</v>
      </c>
      <c r="AQ103" s="26" t="s">
        <v>73</v>
      </c>
      <c r="AV103" s="24">
        <f t="shared" si="172"/>
        <v>0</v>
      </c>
      <c r="AW103" s="24">
        <f t="shared" si="173"/>
        <v>0</v>
      </c>
      <c r="AX103" s="24">
        <f t="shared" si="174"/>
        <v>0</v>
      </c>
      <c r="AY103" s="26" t="s">
        <v>293</v>
      </c>
      <c r="AZ103" s="26" t="s">
        <v>271</v>
      </c>
      <c r="BA103" s="10" t="s">
        <v>52</v>
      </c>
      <c r="BC103" s="24">
        <f t="shared" si="175"/>
        <v>0</v>
      </c>
      <c r="BD103" s="24">
        <f t="shared" si="176"/>
        <v>0</v>
      </c>
      <c r="BE103" s="24">
        <v>0</v>
      </c>
      <c r="BF103" s="24">
        <f>100</f>
        <v>100</v>
      </c>
      <c r="BH103" s="24">
        <f t="shared" si="177"/>
        <v>0</v>
      </c>
      <c r="BI103" s="24">
        <f t="shared" si="178"/>
        <v>0</v>
      </c>
      <c r="BJ103" s="24">
        <f t="shared" si="179"/>
        <v>0</v>
      </c>
      <c r="BK103" s="26" t="s">
        <v>53</v>
      </c>
      <c r="BL103" s="24">
        <v>767</v>
      </c>
      <c r="BW103" s="24">
        <v>21</v>
      </c>
      <c r="BX103" s="4" t="s">
        <v>320</v>
      </c>
    </row>
    <row r="104" spans="1:76" ht="14.4" x14ac:dyDescent="0.3">
      <c r="A104" s="2" t="s">
        <v>322</v>
      </c>
      <c r="B104" s="3" t="s">
        <v>323</v>
      </c>
      <c r="C104" s="82" t="s">
        <v>324</v>
      </c>
      <c r="D104" s="81"/>
      <c r="E104" s="3" t="s">
        <v>261</v>
      </c>
      <c r="F104" s="24">
        <v>0.35321999999999998</v>
      </c>
      <c r="G104" s="180">
        <v>0</v>
      </c>
      <c r="H104" s="24">
        <f t="shared" si="158"/>
        <v>0</v>
      </c>
      <c r="I104" s="24">
        <f t="shared" si="159"/>
        <v>0</v>
      </c>
      <c r="J104" s="24">
        <f t="shared" si="160"/>
        <v>0</v>
      </c>
      <c r="K104" s="25"/>
      <c r="Z104" s="24">
        <f t="shared" si="161"/>
        <v>0</v>
      </c>
      <c r="AB104" s="24">
        <f t="shared" si="162"/>
        <v>0</v>
      </c>
      <c r="AC104" s="24">
        <f t="shared" si="163"/>
        <v>0</v>
      </c>
      <c r="AD104" s="24">
        <f t="shared" si="164"/>
        <v>0</v>
      </c>
      <c r="AE104" s="24">
        <f t="shared" si="165"/>
        <v>0</v>
      </c>
      <c r="AF104" s="24">
        <f t="shared" si="166"/>
        <v>0</v>
      </c>
      <c r="AG104" s="24">
        <f t="shared" si="167"/>
        <v>0</v>
      </c>
      <c r="AH104" s="24">
        <f t="shared" si="168"/>
        <v>0</v>
      </c>
      <c r="AI104" s="10" t="s">
        <v>43</v>
      </c>
      <c r="AJ104" s="24">
        <f t="shared" si="169"/>
        <v>0</v>
      </c>
      <c r="AK104" s="24">
        <f t="shared" si="170"/>
        <v>0</v>
      </c>
      <c r="AL104" s="24">
        <f t="shared" si="171"/>
        <v>0</v>
      </c>
      <c r="AN104" s="24">
        <v>21</v>
      </c>
      <c r="AO104" s="24">
        <f t="shared" ref="AO104:AO114" si="180">G104*1</f>
        <v>0</v>
      </c>
      <c r="AP104" s="24">
        <f t="shared" ref="AP104:AP114" si="181">G104*(1-1)</f>
        <v>0</v>
      </c>
      <c r="AQ104" s="26" t="s">
        <v>73</v>
      </c>
      <c r="AV104" s="24">
        <f t="shared" si="172"/>
        <v>0</v>
      </c>
      <c r="AW104" s="24">
        <f t="shared" si="173"/>
        <v>0</v>
      </c>
      <c r="AX104" s="24">
        <f t="shared" si="174"/>
        <v>0</v>
      </c>
      <c r="AY104" s="26" t="s">
        <v>293</v>
      </c>
      <c r="AZ104" s="26" t="s">
        <v>271</v>
      </c>
      <c r="BA104" s="10" t="s">
        <v>52</v>
      </c>
      <c r="BC104" s="24">
        <f t="shared" si="175"/>
        <v>0</v>
      </c>
      <c r="BD104" s="24">
        <f t="shared" si="176"/>
        <v>0</v>
      </c>
      <c r="BE104" s="24">
        <v>0</v>
      </c>
      <c r="BF104" s="24">
        <f>101</f>
        <v>101</v>
      </c>
      <c r="BH104" s="24">
        <f t="shared" si="177"/>
        <v>0</v>
      </c>
      <c r="BI104" s="24">
        <f t="shared" si="178"/>
        <v>0</v>
      </c>
      <c r="BJ104" s="24">
        <f t="shared" si="179"/>
        <v>0</v>
      </c>
      <c r="BK104" s="26" t="s">
        <v>103</v>
      </c>
      <c r="BL104" s="24">
        <v>767</v>
      </c>
      <c r="BW104" s="24">
        <v>21</v>
      </c>
      <c r="BX104" s="4" t="s">
        <v>324</v>
      </c>
    </row>
    <row r="105" spans="1:76" ht="14.4" x14ac:dyDescent="0.3">
      <c r="A105" s="2" t="s">
        <v>325</v>
      </c>
      <c r="B105" s="3" t="s">
        <v>326</v>
      </c>
      <c r="C105" s="82" t="s">
        <v>327</v>
      </c>
      <c r="D105" s="81"/>
      <c r="E105" s="3" t="s">
        <v>261</v>
      </c>
      <c r="F105" s="24">
        <v>1.3163499999999999</v>
      </c>
      <c r="G105" s="180">
        <v>0</v>
      </c>
      <c r="H105" s="24">
        <f t="shared" si="158"/>
        <v>0</v>
      </c>
      <c r="I105" s="24">
        <f t="shared" si="159"/>
        <v>0</v>
      </c>
      <c r="J105" s="24">
        <f t="shared" si="160"/>
        <v>0</v>
      </c>
      <c r="K105" s="25"/>
      <c r="Z105" s="24">
        <f t="shared" si="161"/>
        <v>0</v>
      </c>
      <c r="AB105" s="24">
        <f t="shared" si="162"/>
        <v>0</v>
      </c>
      <c r="AC105" s="24">
        <f t="shared" si="163"/>
        <v>0</v>
      </c>
      <c r="AD105" s="24">
        <f t="shared" si="164"/>
        <v>0</v>
      </c>
      <c r="AE105" s="24">
        <f t="shared" si="165"/>
        <v>0</v>
      </c>
      <c r="AF105" s="24">
        <f t="shared" si="166"/>
        <v>0</v>
      </c>
      <c r="AG105" s="24">
        <f t="shared" si="167"/>
        <v>0</v>
      </c>
      <c r="AH105" s="24">
        <f t="shared" si="168"/>
        <v>0</v>
      </c>
      <c r="AI105" s="10" t="s">
        <v>43</v>
      </c>
      <c r="AJ105" s="24">
        <f t="shared" si="169"/>
        <v>0</v>
      </c>
      <c r="AK105" s="24">
        <f t="shared" si="170"/>
        <v>0</v>
      </c>
      <c r="AL105" s="24">
        <f t="shared" si="171"/>
        <v>0</v>
      </c>
      <c r="AN105" s="24">
        <v>21</v>
      </c>
      <c r="AO105" s="24">
        <f t="shared" si="180"/>
        <v>0</v>
      </c>
      <c r="AP105" s="24">
        <f t="shared" si="181"/>
        <v>0</v>
      </c>
      <c r="AQ105" s="26" t="s">
        <v>73</v>
      </c>
      <c r="AV105" s="24">
        <f t="shared" si="172"/>
        <v>0</v>
      </c>
      <c r="AW105" s="24">
        <f t="shared" si="173"/>
        <v>0</v>
      </c>
      <c r="AX105" s="24">
        <f t="shared" si="174"/>
        <v>0</v>
      </c>
      <c r="AY105" s="26" t="s">
        <v>293</v>
      </c>
      <c r="AZ105" s="26" t="s">
        <v>271</v>
      </c>
      <c r="BA105" s="10" t="s">
        <v>52</v>
      </c>
      <c r="BC105" s="24">
        <f t="shared" si="175"/>
        <v>0</v>
      </c>
      <c r="BD105" s="24">
        <f t="shared" si="176"/>
        <v>0</v>
      </c>
      <c r="BE105" s="24">
        <v>0</v>
      </c>
      <c r="BF105" s="24">
        <f>102</f>
        <v>102</v>
      </c>
      <c r="BH105" s="24">
        <f t="shared" si="177"/>
        <v>0</v>
      </c>
      <c r="BI105" s="24">
        <f t="shared" si="178"/>
        <v>0</v>
      </c>
      <c r="BJ105" s="24">
        <f t="shared" si="179"/>
        <v>0</v>
      </c>
      <c r="BK105" s="26" t="s">
        <v>103</v>
      </c>
      <c r="BL105" s="24">
        <v>767</v>
      </c>
      <c r="BW105" s="24">
        <v>21</v>
      </c>
      <c r="BX105" s="4" t="s">
        <v>327</v>
      </c>
    </row>
    <row r="106" spans="1:76" ht="14.4" x14ac:dyDescent="0.3">
      <c r="A106" s="2" t="s">
        <v>328</v>
      </c>
      <c r="B106" s="3" t="s">
        <v>329</v>
      </c>
      <c r="C106" s="82" t="s">
        <v>330</v>
      </c>
      <c r="D106" s="81"/>
      <c r="E106" s="3" t="s">
        <v>261</v>
      </c>
      <c r="F106" s="24">
        <v>0.49729000000000001</v>
      </c>
      <c r="G106" s="180">
        <v>0</v>
      </c>
      <c r="H106" s="24">
        <f t="shared" si="158"/>
        <v>0</v>
      </c>
      <c r="I106" s="24">
        <f t="shared" si="159"/>
        <v>0</v>
      </c>
      <c r="J106" s="24">
        <f t="shared" si="160"/>
        <v>0</v>
      </c>
      <c r="K106" s="25"/>
      <c r="Z106" s="24">
        <f t="shared" si="161"/>
        <v>0</v>
      </c>
      <c r="AB106" s="24">
        <f t="shared" si="162"/>
        <v>0</v>
      </c>
      <c r="AC106" s="24">
        <f t="shared" si="163"/>
        <v>0</v>
      </c>
      <c r="AD106" s="24">
        <f t="shared" si="164"/>
        <v>0</v>
      </c>
      <c r="AE106" s="24">
        <f t="shared" si="165"/>
        <v>0</v>
      </c>
      <c r="AF106" s="24">
        <f t="shared" si="166"/>
        <v>0</v>
      </c>
      <c r="AG106" s="24">
        <f t="shared" si="167"/>
        <v>0</v>
      </c>
      <c r="AH106" s="24">
        <f t="shared" si="168"/>
        <v>0</v>
      </c>
      <c r="AI106" s="10" t="s">
        <v>43</v>
      </c>
      <c r="AJ106" s="24">
        <f t="shared" si="169"/>
        <v>0</v>
      </c>
      <c r="AK106" s="24">
        <f t="shared" si="170"/>
        <v>0</v>
      </c>
      <c r="AL106" s="24">
        <f t="shared" si="171"/>
        <v>0</v>
      </c>
      <c r="AN106" s="24">
        <v>21</v>
      </c>
      <c r="AO106" s="24">
        <f t="shared" si="180"/>
        <v>0</v>
      </c>
      <c r="AP106" s="24">
        <f t="shared" si="181"/>
        <v>0</v>
      </c>
      <c r="AQ106" s="26" t="s">
        <v>73</v>
      </c>
      <c r="AV106" s="24">
        <f t="shared" si="172"/>
        <v>0</v>
      </c>
      <c r="AW106" s="24">
        <f t="shared" si="173"/>
        <v>0</v>
      </c>
      <c r="AX106" s="24">
        <f t="shared" si="174"/>
        <v>0</v>
      </c>
      <c r="AY106" s="26" t="s">
        <v>293</v>
      </c>
      <c r="AZ106" s="26" t="s">
        <v>271</v>
      </c>
      <c r="BA106" s="10" t="s">
        <v>52</v>
      </c>
      <c r="BC106" s="24">
        <f t="shared" si="175"/>
        <v>0</v>
      </c>
      <c r="BD106" s="24">
        <f t="shared" si="176"/>
        <v>0</v>
      </c>
      <c r="BE106" s="24">
        <v>0</v>
      </c>
      <c r="BF106" s="24">
        <f>103</f>
        <v>103</v>
      </c>
      <c r="BH106" s="24">
        <f t="shared" si="177"/>
        <v>0</v>
      </c>
      <c r="BI106" s="24">
        <f t="shared" si="178"/>
        <v>0</v>
      </c>
      <c r="BJ106" s="24">
        <f t="shared" si="179"/>
        <v>0</v>
      </c>
      <c r="BK106" s="26" t="s">
        <v>103</v>
      </c>
      <c r="BL106" s="24">
        <v>767</v>
      </c>
      <c r="BW106" s="24">
        <v>21</v>
      </c>
      <c r="BX106" s="4" t="s">
        <v>330</v>
      </c>
    </row>
    <row r="107" spans="1:76" ht="14.4" x14ac:dyDescent="0.3">
      <c r="A107" s="2" t="s">
        <v>331</v>
      </c>
      <c r="B107" s="3" t="s">
        <v>332</v>
      </c>
      <c r="C107" s="82" t="s">
        <v>333</v>
      </c>
      <c r="D107" s="81"/>
      <c r="E107" s="3" t="s">
        <v>261</v>
      </c>
      <c r="F107" s="24">
        <v>2.5427499999999998</v>
      </c>
      <c r="G107" s="180">
        <v>0</v>
      </c>
      <c r="H107" s="24">
        <f t="shared" si="158"/>
        <v>0</v>
      </c>
      <c r="I107" s="24">
        <f t="shared" si="159"/>
        <v>0</v>
      </c>
      <c r="J107" s="24">
        <f t="shared" si="160"/>
        <v>0</v>
      </c>
      <c r="K107" s="25"/>
      <c r="Z107" s="24">
        <f t="shared" si="161"/>
        <v>0</v>
      </c>
      <c r="AB107" s="24">
        <f t="shared" si="162"/>
        <v>0</v>
      </c>
      <c r="AC107" s="24">
        <f t="shared" si="163"/>
        <v>0</v>
      </c>
      <c r="AD107" s="24">
        <f t="shared" si="164"/>
        <v>0</v>
      </c>
      <c r="AE107" s="24">
        <f t="shared" si="165"/>
        <v>0</v>
      </c>
      <c r="AF107" s="24">
        <f t="shared" si="166"/>
        <v>0</v>
      </c>
      <c r="AG107" s="24">
        <f t="shared" si="167"/>
        <v>0</v>
      </c>
      <c r="AH107" s="24">
        <f t="shared" si="168"/>
        <v>0</v>
      </c>
      <c r="AI107" s="10" t="s">
        <v>43</v>
      </c>
      <c r="AJ107" s="24">
        <f t="shared" si="169"/>
        <v>0</v>
      </c>
      <c r="AK107" s="24">
        <f t="shared" si="170"/>
        <v>0</v>
      </c>
      <c r="AL107" s="24">
        <f t="shared" si="171"/>
        <v>0</v>
      </c>
      <c r="AN107" s="24">
        <v>21</v>
      </c>
      <c r="AO107" s="24">
        <f t="shared" si="180"/>
        <v>0</v>
      </c>
      <c r="AP107" s="24">
        <f t="shared" si="181"/>
        <v>0</v>
      </c>
      <c r="AQ107" s="26" t="s">
        <v>73</v>
      </c>
      <c r="AV107" s="24">
        <f t="shared" si="172"/>
        <v>0</v>
      </c>
      <c r="AW107" s="24">
        <f t="shared" si="173"/>
        <v>0</v>
      </c>
      <c r="AX107" s="24">
        <f t="shared" si="174"/>
        <v>0</v>
      </c>
      <c r="AY107" s="26" t="s">
        <v>293</v>
      </c>
      <c r="AZ107" s="26" t="s">
        <v>271</v>
      </c>
      <c r="BA107" s="10" t="s">
        <v>52</v>
      </c>
      <c r="BC107" s="24">
        <f t="shared" si="175"/>
        <v>0</v>
      </c>
      <c r="BD107" s="24">
        <f t="shared" si="176"/>
        <v>0</v>
      </c>
      <c r="BE107" s="24">
        <v>0</v>
      </c>
      <c r="BF107" s="24">
        <f>104</f>
        <v>104</v>
      </c>
      <c r="BH107" s="24">
        <f t="shared" si="177"/>
        <v>0</v>
      </c>
      <c r="BI107" s="24">
        <f t="shared" si="178"/>
        <v>0</v>
      </c>
      <c r="BJ107" s="24">
        <f t="shared" si="179"/>
        <v>0</v>
      </c>
      <c r="BK107" s="26" t="s">
        <v>103</v>
      </c>
      <c r="BL107" s="24">
        <v>767</v>
      </c>
      <c r="BW107" s="24">
        <v>21</v>
      </c>
      <c r="BX107" s="4" t="s">
        <v>333</v>
      </c>
    </row>
    <row r="108" spans="1:76" ht="14.4" x14ac:dyDescent="0.3">
      <c r="A108" s="2" t="s">
        <v>334</v>
      </c>
      <c r="B108" s="3" t="s">
        <v>335</v>
      </c>
      <c r="C108" s="82" t="s">
        <v>336</v>
      </c>
      <c r="D108" s="81"/>
      <c r="E108" s="3" t="s">
        <v>261</v>
      </c>
      <c r="F108" s="24">
        <v>8.1920900000000003</v>
      </c>
      <c r="G108" s="180">
        <v>0</v>
      </c>
      <c r="H108" s="24">
        <f t="shared" si="158"/>
        <v>0</v>
      </c>
      <c r="I108" s="24">
        <f t="shared" si="159"/>
        <v>0</v>
      </c>
      <c r="J108" s="24">
        <f t="shared" si="160"/>
        <v>0</v>
      </c>
      <c r="K108" s="25"/>
      <c r="Z108" s="24">
        <f t="shared" si="161"/>
        <v>0</v>
      </c>
      <c r="AB108" s="24">
        <f t="shared" si="162"/>
        <v>0</v>
      </c>
      <c r="AC108" s="24">
        <f t="shared" si="163"/>
        <v>0</v>
      </c>
      <c r="AD108" s="24">
        <f t="shared" si="164"/>
        <v>0</v>
      </c>
      <c r="AE108" s="24">
        <f t="shared" si="165"/>
        <v>0</v>
      </c>
      <c r="AF108" s="24">
        <f t="shared" si="166"/>
        <v>0</v>
      </c>
      <c r="AG108" s="24">
        <f t="shared" si="167"/>
        <v>0</v>
      </c>
      <c r="AH108" s="24">
        <f t="shared" si="168"/>
        <v>0</v>
      </c>
      <c r="AI108" s="10" t="s">
        <v>43</v>
      </c>
      <c r="AJ108" s="24">
        <f t="shared" si="169"/>
        <v>0</v>
      </c>
      <c r="AK108" s="24">
        <f t="shared" si="170"/>
        <v>0</v>
      </c>
      <c r="AL108" s="24">
        <f t="shared" si="171"/>
        <v>0</v>
      </c>
      <c r="AN108" s="24">
        <v>21</v>
      </c>
      <c r="AO108" s="24">
        <f t="shared" si="180"/>
        <v>0</v>
      </c>
      <c r="AP108" s="24">
        <f t="shared" si="181"/>
        <v>0</v>
      </c>
      <c r="AQ108" s="26" t="s">
        <v>73</v>
      </c>
      <c r="AV108" s="24">
        <f t="shared" si="172"/>
        <v>0</v>
      </c>
      <c r="AW108" s="24">
        <f t="shared" si="173"/>
        <v>0</v>
      </c>
      <c r="AX108" s="24">
        <f t="shared" si="174"/>
        <v>0</v>
      </c>
      <c r="AY108" s="26" t="s">
        <v>293</v>
      </c>
      <c r="AZ108" s="26" t="s">
        <v>271</v>
      </c>
      <c r="BA108" s="10" t="s">
        <v>52</v>
      </c>
      <c r="BC108" s="24">
        <f t="shared" si="175"/>
        <v>0</v>
      </c>
      <c r="BD108" s="24">
        <f t="shared" si="176"/>
        <v>0</v>
      </c>
      <c r="BE108" s="24">
        <v>0</v>
      </c>
      <c r="BF108" s="24">
        <f>105</f>
        <v>105</v>
      </c>
      <c r="BH108" s="24">
        <f t="shared" si="177"/>
        <v>0</v>
      </c>
      <c r="BI108" s="24">
        <f t="shared" si="178"/>
        <v>0</v>
      </c>
      <c r="BJ108" s="24">
        <f t="shared" si="179"/>
        <v>0</v>
      </c>
      <c r="BK108" s="26" t="s">
        <v>103</v>
      </c>
      <c r="BL108" s="24">
        <v>767</v>
      </c>
      <c r="BW108" s="24">
        <v>21</v>
      </c>
      <c r="BX108" s="4" t="s">
        <v>336</v>
      </c>
    </row>
    <row r="109" spans="1:76" ht="14.4" x14ac:dyDescent="0.3">
      <c r="A109" s="2" t="s">
        <v>337</v>
      </c>
      <c r="B109" s="3" t="s">
        <v>338</v>
      </c>
      <c r="C109" s="82" t="s">
        <v>339</v>
      </c>
      <c r="D109" s="81"/>
      <c r="E109" s="3" t="s">
        <v>261</v>
      </c>
      <c r="F109" s="24">
        <v>0.87</v>
      </c>
      <c r="G109" s="180">
        <v>0</v>
      </c>
      <c r="H109" s="24">
        <f t="shared" si="158"/>
        <v>0</v>
      </c>
      <c r="I109" s="24">
        <f t="shared" si="159"/>
        <v>0</v>
      </c>
      <c r="J109" s="24">
        <f t="shared" si="160"/>
        <v>0</v>
      </c>
      <c r="K109" s="25"/>
      <c r="Z109" s="24">
        <f t="shared" si="161"/>
        <v>0</v>
      </c>
      <c r="AB109" s="24">
        <f t="shared" si="162"/>
        <v>0</v>
      </c>
      <c r="AC109" s="24">
        <f t="shared" si="163"/>
        <v>0</v>
      </c>
      <c r="AD109" s="24">
        <f t="shared" si="164"/>
        <v>0</v>
      </c>
      <c r="AE109" s="24">
        <f t="shared" si="165"/>
        <v>0</v>
      </c>
      <c r="AF109" s="24">
        <f t="shared" si="166"/>
        <v>0</v>
      </c>
      <c r="AG109" s="24">
        <f t="shared" si="167"/>
        <v>0</v>
      </c>
      <c r="AH109" s="24">
        <f t="shared" si="168"/>
        <v>0</v>
      </c>
      <c r="AI109" s="10" t="s">
        <v>43</v>
      </c>
      <c r="AJ109" s="24">
        <f t="shared" si="169"/>
        <v>0</v>
      </c>
      <c r="AK109" s="24">
        <f t="shared" si="170"/>
        <v>0</v>
      </c>
      <c r="AL109" s="24">
        <f t="shared" si="171"/>
        <v>0</v>
      </c>
      <c r="AN109" s="24">
        <v>21</v>
      </c>
      <c r="AO109" s="24">
        <f t="shared" si="180"/>
        <v>0</v>
      </c>
      <c r="AP109" s="24">
        <f t="shared" si="181"/>
        <v>0</v>
      </c>
      <c r="AQ109" s="26" t="s">
        <v>73</v>
      </c>
      <c r="AV109" s="24">
        <f t="shared" si="172"/>
        <v>0</v>
      </c>
      <c r="AW109" s="24">
        <f t="shared" si="173"/>
        <v>0</v>
      </c>
      <c r="AX109" s="24">
        <f t="shared" si="174"/>
        <v>0</v>
      </c>
      <c r="AY109" s="26" t="s">
        <v>293</v>
      </c>
      <c r="AZ109" s="26" t="s">
        <v>271</v>
      </c>
      <c r="BA109" s="10" t="s">
        <v>52</v>
      </c>
      <c r="BC109" s="24">
        <f t="shared" si="175"/>
        <v>0</v>
      </c>
      <c r="BD109" s="24">
        <f t="shared" si="176"/>
        <v>0</v>
      </c>
      <c r="BE109" s="24">
        <v>0</v>
      </c>
      <c r="BF109" s="24">
        <f>106</f>
        <v>106</v>
      </c>
      <c r="BH109" s="24">
        <f t="shared" si="177"/>
        <v>0</v>
      </c>
      <c r="BI109" s="24">
        <f t="shared" si="178"/>
        <v>0</v>
      </c>
      <c r="BJ109" s="24">
        <f t="shared" si="179"/>
        <v>0</v>
      </c>
      <c r="BK109" s="26" t="s">
        <v>103</v>
      </c>
      <c r="BL109" s="24">
        <v>767</v>
      </c>
      <c r="BW109" s="24">
        <v>21</v>
      </c>
      <c r="BX109" s="4" t="s">
        <v>339</v>
      </c>
    </row>
    <row r="110" spans="1:76" ht="14.4" x14ac:dyDescent="0.3">
      <c r="A110" s="2" t="s">
        <v>340</v>
      </c>
      <c r="B110" s="3" t="s">
        <v>341</v>
      </c>
      <c r="C110" s="82" t="s">
        <v>342</v>
      </c>
      <c r="D110" s="81"/>
      <c r="E110" s="3" t="s">
        <v>261</v>
      </c>
      <c r="F110" s="24">
        <v>0.43667</v>
      </c>
      <c r="G110" s="180">
        <v>0</v>
      </c>
      <c r="H110" s="24">
        <f t="shared" si="158"/>
        <v>0</v>
      </c>
      <c r="I110" s="24">
        <f t="shared" si="159"/>
        <v>0</v>
      </c>
      <c r="J110" s="24">
        <f t="shared" si="160"/>
        <v>0</v>
      </c>
      <c r="K110" s="25"/>
      <c r="Z110" s="24">
        <f t="shared" si="161"/>
        <v>0</v>
      </c>
      <c r="AB110" s="24">
        <f t="shared" si="162"/>
        <v>0</v>
      </c>
      <c r="AC110" s="24">
        <f t="shared" si="163"/>
        <v>0</v>
      </c>
      <c r="AD110" s="24">
        <f t="shared" si="164"/>
        <v>0</v>
      </c>
      <c r="AE110" s="24">
        <f t="shared" si="165"/>
        <v>0</v>
      </c>
      <c r="AF110" s="24">
        <f t="shared" si="166"/>
        <v>0</v>
      </c>
      <c r="AG110" s="24">
        <f t="shared" si="167"/>
        <v>0</v>
      </c>
      <c r="AH110" s="24">
        <f t="shared" si="168"/>
        <v>0</v>
      </c>
      <c r="AI110" s="10" t="s">
        <v>43</v>
      </c>
      <c r="AJ110" s="24">
        <f t="shared" si="169"/>
        <v>0</v>
      </c>
      <c r="AK110" s="24">
        <f t="shared" si="170"/>
        <v>0</v>
      </c>
      <c r="AL110" s="24">
        <f t="shared" si="171"/>
        <v>0</v>
      </c>
      <c r="AN110" s="24">
        <v>21</v>
      </c>
      <c r="AO110" s="24">
        <f t="shared" si="180"/>
        <v>0</v>
      </c>
      <c r="AP110" s="24">
        <f t="shared" si="181"/>
        <v>0</v>
      </c>
      <c r="AQ110" s="26" t="s">
        <v>73</v>
      </c>
      <c r="AV110" s="24">
        <f t="shared" si="172"/>
        <v>0</v>
      </c>
      <c r="AW110" s="24">
        <f t="shared" si="173"/>
        <v>0</v>
      </c>
      <c r="AX110" s="24">
        <f t="shared" si="174"/>
        <v>0</v>
      </c>
      <c r="AY110" s="26" t="s">
        <v>293</v>
      </c>
      <c r="AZ110" s="26" t="s">
        <v>271</v>
      </c>
      <c r="BA110" s="10" t="s">
        <v>52</v>
      </c>
      <c r="BC110" s="24">
        <f t="shared" si="175"/>
        <v>0</v>
      </c>
      <c r="BD110" s="24">
        <f t="shared" si="176"/>
        <v>0</v>
      </c>
      <c r="BE110" s="24">
        <v>0</v>
      </c>
      <c r="BF110" s="24">
        <f>107</f>
        <v>107</v>
      </c>
      <c r="BH110" s="24">
        <f t="shared" si="177"/>
        <v>0</v>
      </c>
      <c r="BI110" s="24">
        <f t="shared" si="178"/>
        <v>0</v>
      </c>
      <c r="BJ110" s="24">
        <f t="shared" si="179"/>
        <v>0</v>
      </c>
      <c r="BK110" s="26" t="s">
        <v>103</v>
      </c>
      <c r="BL110" s="24">
        <v>767</v>
      </c>
      <c r="BW110" s="24">
        <v>21</v>
      </c>
      <c r="BX110" s="4" t="s">
        <v>342</v>
      </c>
    </row>
    <row r="111" spans="1:76" ht="14.4" x14ac:dyDescent="0.3">
      <c r="A111" s="2" t="s">
        <v>343</v>
      </c>
      <c r="B111" s="3" t="s">
        <v>344</v>
      </c>
      <c r="C111" s="82" t="s">
        <v>345</v>
      </c>
      <c r="D111" s="81"/>
      <c r="E111" s="3" t="s">
        <v>261</v>
      </c>
      <c r="F111" s="24">
        <v>0.19924</v>
      </c>
      <c r="G111" s="180">
        <v>0</v>
      </c>
      <c r="H111" s="24">
        <f t="shared" si="158"/>
        <v>0</v>
      </c>
      <c r="I111" s="24">
        <f t="shared" si="159"/>
        <v>0</v>
      </c>
      <c r="J111" s="24">
        <f t="shared" si="160"/>
        <v>0</v>
      </c>
      <c r="K111" s="25"/>
      <c r="Z111" s="24">
        <f t="shared" si="161"/>
        <v>0</v>
      </c>
      <c r="AB111" s="24">
        <f t="shared" si="162"/>
        <v>0</v>
      </c>
      <c r="AC111" s="24">
        <f t="shared" si="163"/>
        <v>0</v>
      </c>
      <c r="AD111" s="24">
        <f t="shared" si="164"/>
        <v>0</v>
      </c>
      <c r="AE111" s="24">
        <f t="shared" si="165"/>
        <v>0</v>
      </c>
      <c r="AF111" s="24">
        <f t="shared" si="166"/>
        <v>0</v>
      </c>
      <c r="AG111" s="24">
        <f t="shared" si="167"/>
        <v>0</v>
      </c>
      <c r="AH111" s="24">
        <f t="shared" si="168"/>
        <v>0</v>
      </c>
      <c r="AI111" s="10" t="s">
        <v>43</v>
      </c>
      <c r="AJ111" s="24">
        <f t="shared" si="169"/>
        <v>0</v>
      </c>
      <c r="AK111" s="24">
        <f t="shared" si="170"/>
        <v>0</v>
      </c>
      <c r="AL111" s="24">
        <f t="shared" si="171"/>
        <v>0</v>
      </c>
      <c r="AN111" s="24">
        <v>21</v>
      </c>
      <c r="AO111" s="24">
        <f t="shared" si="180"/>
        <v>0</v>
      </c>
      <c r="AP111" s="24">
        <f t="shared" si="181"/>
        <v>0</v>
      </c>
      <c r="AQ111" s="26" t="s">
        <v>73</v>
      </c>
      <c r="AV111" s="24">
        <f t="shared" si="172"/>
        <v>0</v>
      </c>
      <c r="AW111" s="24">
        <f t="shared" si="173"/>
        <v>0</v>
      </c>
      <c r="AX111" s="24">
        <f t="shared" si="174"/>
        <v>0</v>
      </c>
      <c r="AY111" s="26" t="s">
        <v>293</v>
      </c>
      <c r="AZ111" s="26" t="s">
        <v>271</v>
      </c>
      <c r="BA111" s="10" t="s">
        <v>52</v>
      </c>
      <c r="BC111" s="24">
        <f t="shared" si="175"/>
        <v>0</v>
      </c>
      <c r="BD111" s="24">
        <f t="shared" si="176"/>
        <v>0</v>
      </c>
      <c r="BE111" s="24">
        <v>0</v>
      </c>
      <c r="BF111" s="24">
        <f>108</f>
        <v>108</v>
      </c>
      <c r="BH111" s="24">
        <f t="shared" si="177"/>
        <v>0</v>
      </c>
      <c r="BI111" s="24">
        <f t="shared" si="178"/>
        <v>0</v>
      </c>
      <c r="BJ111" s="24">
        <f t="shared" si="179"/>
        <v>0</v>
      </c>
      <c r="BK111" s="26" t="s">
        <v>103</v>
      </c>
      <c r="BL111" s="24">
        <v>767</v>
      </c>
      <c r="BW111" s="24">
        <v>21</v>
      </c>
      <c r="BX111" s="4" t="s">
        <v>345</v>
      </c>
    </row>
    <row r="112" spans="1:76" ht="14.4" x14ac:dyDescent="0.3">
      <c r="A112" s="2" t="s">
        <v>346</v>
      </c>
      <c r="B112" s="3" t="s">
        <v>347</v>
      </c>
      <c r="C112" s="82" t="s">
        <v>348</v>
      </c>
      <c r="D112" s="81"/>
      <c r="E112" s="3" t="s">
        <v>261</v>
      </c>
      <c r="F112" s="24">
        <v>0.24005000000000001</v>
      </c>
      <c r="G112" s="180">
        <v>0</v>
      </c>
      <c r="H112" s="24">
        <f t="shared" si="158"/>
        <v>0</v>
      </c>
      <c r="I112" s="24">
        <f t="shared" si="159"/>
        <v>0</v>
      </c>
      <c r="J112" s="24">
        <f t="shared" si="160"/>
        <v>0</v>
      </c>
      <c r="K112" s="25"/>
      <c r="Z112" s="24">
        <f t="shared" si="161"/>
        <v>0</v>
      </c>
      <c r="AB112" s="24">
        <f t="shared" si="162"/>
        <v>0</v>
      </c>
      <c r="AC112" s="24">
        <f t="shared" si="163"/>
        <v>0</v>
      </c>
      <c r="AD112" s="24">
        <f t="shared" si="164"/>
        <v>0</v>
      </c>
      <c r="AE112" s="24">
        <f t="shared" si="165"/>
        <v>0</v>
      </c>
      <c r="AF112" s="24">
        <f t="shared" si="166"/>
        <v>0</v>
      </c>
      <c r="AG112" s="24">
        <f t="shared" si="167"/>
        <v>0</v>
      </c>
      <c r="AH112" s="24">
        <f t="shared" si="168"/>
        <v>0</v>
      </c>
      <c r="AI112" s="10" t="s">
        <v>43</v>
      </c>
      <c r="AJ112" s="24">
        <f t="shared" si="169"/>
        <v>0</v>
      </c>
      <c r="AK112" s="24">
        <f t="shared" si="170"/>
        <v>0</v>
      </c>
      <c r="AL112" s="24">
        <f t="shared" si="171"/>
        <v>0</v>
      </c>
      <c r="AN112" s="24">
        <v>21</v>
      </c>
      <c r="AO112" s="24">
        <f t="shared" si="180"/>
        <v>0</v>
      </c>
      <c r="AP112" s="24">
        <f t="shared" si="181"/>
        <v>0</v>
      </c>
      <c r="AQ112" s="26" t="s">
        <v>73</v>
      </c>
      <c r="AV112" s="24">
        <f t="shared" si="172"/>
        <v>0</v>
      </c>
      <c r="AW112" s="24">
        <f t="shared" si="173"/>
        <v>0</v>
      </c>
      <c r="AX112" s="24">
        <f t="shared" si="174"/>
        <v>0</v>
      </c>
      <c r="AY112" s="26" t="s">
        <v>293</v>
      </c>
      <c r="AZ112" s="26" t="s">
        <v>271</v>
      </c>
      <c r="BA112" s="10" t="s">
        <v>52</v>
      </c>
      <c r="BC112" s="24">
        <f t="shared" si="175"/>
        <v>0</v>
      </c>
      <c r="BD112" s="24">
        <f t="shared" si="176"/>
        <v>0</v>
      </c>
      <c r="BE112" s="24">
        <v>0</v>
      </c>
      <c r="BF112" s="24">
        <f>109</f>
        <v>109</v>
      </c>
      <c r="BH112" s="24">
        <f t="shared" si="177"/>
        <v>0</v>
      </c>
      <c r="BI112" s="24">
        <f t="shared" si="178"/>
        <v>0</v>
      </c>
      <c r="BJ112" s="24">
        <f t="shared" si="179"/>
        <v>0</v>
      </c>
      <c r="BK112" s="26" t="s">
        <v>103</v>
      </c>
      <c r="BL112" s="24">
        <v>767</v>
      </c>
      <c r="BW112" s="24">
        <v>21</v>
      </c>
      <c r="BX112" s="4" t="s">
        <v>348</v>
      </c>
    </row>
    <row r="113" spans="1:76" ht="14.4" x14ac:dyDescent="0.3">
      <c r="A113" s="2" t="s">
        <v>349</v>
      </c>
      <c r="B113" s="3" t="s">
        <v>350</v>
      </c>
      <c r="C113" s="82" t="s">
        <v>351</v>
      </c>
      <c r="D113" s="81"/>
      <c r="E113" s="3" t="s">
        <v>261</v>
      </c>
      <c r="F113" s="24">
        <v>0.53458000000000006</v>
      </c>
      <c r="G113" s="180">
        <v>0</v>
      </c>
      <c r="H113" s="24">
        <f t="shared" si="158"/>
        <v>0</v>
      </c>
      <c r="I113" s="24">
        <f t="shared" si="159"/>
        <v>0</v>
      </c>
      <c r="J113" s="24">
        <f t="shared" si="160"/>
        <v>0</v>
      </c>
      <c r="K113" s="25"/>
      <c r="Z113" s="24">
        <f t="shared" si="161"/>
        <v>0</v>
      </c>
      <c r="AB113" s="24">
        <f t="shared" si="162"/>
        <v>0</v>
      </c>
      <c r="AC113" s="24">
        <f t="shared" si="163"/>
        <v>0</v>
      </c>
      <c r="AD113" s="24">
        <f t="shared" si="164"/>
        <v>0</v>
      </c>
      <c r="AE113" s="24">
        <f t="shared" si="165"/>
        <v>0</v>
      </c>
      <c r="AF113" s="24">
        <f t="shared" si="166"/>
        <v>0</v>
      </c>
      <c r="AG113" s="24">
        <f t="shared" si="167"/>
        <v>0</v>
      </c>
      <c r="AH113" s="24">
        <f t="shared" si="168"/>
        <v>0</v>
      </c>
      <c r="AI113" s="10" t="s">
        <v>43</v>
      </c>
      <c r="AJ113" s="24">
        <f t="shared" si="169"/>
        <v>0</v>
      </c>
      <c r="AK113" s="24">
        <f t="shared" si="170"/>
        <v>0</v>
      </c>
      <c r="AL113" s="24">
        <f t="shared" si="171"/>
        <v>0</v>
      </c>
      <c r="AN113" s="24">
        <v>21</v>
      </c>
      <c r="AO113" s="24">
        <f t="shared" si="180"/>
        <v>0</v>
      </c>
      <c r="AP113" s="24">
        <f t="shared" si="181"/>
        <v>0</v>
      </c>
      <c r="AQ113" s="26" t="s">
        <v>73</v>
      </c>
      <c r="AV113" s="24">
        <f t="shared" si="172"/>
        <v>0</v>
      </c>
      <c r="AW113" s="24">
        <f t="shared" si="173"/>
        <v>0</v>
      </c>
      <c r="AX113" s="24">
        <f t="shared" si="174"/>
        <v>0</v>
      </c>
      <c r="AY113" s="26" t="s">
        <v>293</v>
      </c>
      <c r="AZ113" s="26" t="s">
        <v>271</v>
      </c>
      <c r="BA113" s="10" t="s">
        <v>52</v>
      </c>
      <c r="BC113" s="24">
        <f t="shared" si="175"/>
        <v>0</v>
      </c>
      <c r="BD113" s="24">
        <f t="shared" si="176"/>
        <v>0</v>
      </c>
      <c r="BE113" s="24">
        <v>0</v>
      </c>
      <c r="BF113" s="24">
        <f>110</f>
        <v>110</v>
      </c>
      <c r="BH113" s="24">
        <f t="shared" si="177"/>
        <v>0</v>
      </c>
      <c r="BI113" s="24">
        <f t="shared" si="178"/>
        <v>0</v>
      </c>
      <c r="BJ113" s="24">
        <f t="shared" si="179"/>
        <v>0</v>
      </c>
      <c r="BK113" s="26" t="s">
        <v>103</v>
      </c>
      <c r="BL113" s="24">
        <v>767</v>
      </c>
      <c r="BW113" s="24">
        <v>21</v>
      </c>
      <c r="BX113" s="4" t="s">
        <v>351</v>
      </c>
    </row>
    <row r="114" spans="1:76" ht="14.4" x14ac:dyDescent="0.3">
      <c r="A114" s="2" t="s">
        <v>352</v>
      </c>
      <c r="B114" s="3" t="s">
        <v>353</v>
      </c>
      <c r="C114" s="82" t="s">
        <v>354</v>
      </c>
      <c r="D114" s="81"/>
      <c r="E114" s="3" t="s">
        <v>261</v>
      </c>
      <c r="F114" s="24">
        <v>5.0560000000000001E-2</v>
      </c>
      <c r="G114" s="180">
        <v>0</v>
      </c>
      <c r="H114" s="24">
        <f t="shared" si="158"/>
        <v>0</v>
      </c>
      <c r="I114" s="24">
        <f t="shared" si="159"/>
        <v>0</v>
      </c>
      <c r="J114" s="24">
        <f t="shared" si="160"/>
        <v>0</v>
      </c>
      <c r="K114" s="25"/>
      <c r="Z114" s="24">
        <f t="shared" si="161"/>
        <v>0</v>
      </c>
      <c r="AB114" s="24">
        <f t="shared" si="162"/>
        <v>0</v>
      </c>
      <c r="AC114" s="24">
        <f t="shared" si="163"/>
        <v>0</v>
      </c>
      <c r="AD114" s="24">
        <f t="shared" si="164"/>
        <v>0</v>
      </c>
      <c r="AE114" s="24">
        <f t="shared" si="165"/>
        <v>0</v>
      </c>
      <c r="AF114" s="24">
        <f t="shared" si="166"/>
        <v>0</v>
      </c>
      <c r="AG114" s="24">
        <f t="shared" si="167"/>
        <v>0</v>
      </c>
      <c r="AH114" s="24">
        <f t="shared" si="168"/>
        <v>0</v>
      </c>
      <c r="AI114" s="10" t="s">
        <v>43</v>
      </c>
      <c r="AJ114" s="24">
        <f t="shared" si="169"/>
        <v>0</v>
      </c>
      <c r="AK114" s="24">
        <f t="shared" si="170"/>
        <v>0</v>
      </c>
      <c r="AL114" s="24">
        <f t="shared" si="171"/>
        <v>0</v>
      </c>
      <c r="AN114" s="24">
        <v>21</v>
      </c>
      <c r="AO114" s="24">
        <f t="shared" si="180"/>
        <v>0</v>
      </c>
      <c r="AP114" s="24">
        <f t="shared" si="181"/>
        <v>0</v>
      </c>
      <c r="AQ114" s="26" t="s">
        <v>73</v>
      </c>
      <c r="AV114" s="24">
        <f t="shared" si="172"/>
        <v>0</v>
      </c>
      <c r="AW114" s="24">
        <f t="shared" si="173"/>
        <v>0</v>
      </c>
      <c r="AX114" s="24">
        <f t="shared" si="174"/>
        <v>0</v>
      </c>
      <c r="AY114" s="26" t="s">
        <v>293</v>
      </c>
      <c r="AZ114" s="26" t="s">
        <v>271</v>
      </c>
      <c r="BA114" s="10" t="s">
        <v>52</v>
      </c>
      <c r="BC114" s="24">
        <f t="shared" si="175"/>
        <v>0</v>
      </c>
      <c r="BD114" s="24">
        <f t="shared" si="176"/>
        <v>0</v>
      </c>
      <c r="BE114" s="24">
        <v>0</v>
      </c>
      <c r="BF114" s="24">
        <f>111</f>
        <v>111</v>
      </c>
      <c r="BH114" s="24">
        <f t="shared" si="177"/>
        <v>0</v>
      </c>
      <c r="BI114" s="24">
        <f t="shared" si="178"/>
        <v>0</v>
      </c>
      <c r="BJ114" s="24">
        <f t="shared" si="179"/>
        <v>0</v>
      </c>
      <c r="BK114" s="26" t="s">
        <v>103</v>
      </c>
      <c r="BL114" s="24">
        <v>767</v>
      </c>
      <c r="BW114" s="24">
        <v>21</v>
      </c>
      <c r="BX114" s="4" t="s">
        <v>354</v>
      </c>
    </row>
    <row r="115" spans="1:76" ht="14.4" x14ac:dyDescent="0.3">
      <c r="A115" s="2" t="s">
        <v>355</v>
      </c>
      <c r="B115" s="3" t="s">
        <v>356</v>
      </c>
      <c r="C115" s="82" t="s">
        <v>357</v>
      </c>
      <c r="D115" s="81"/>
      <c r="E115" s="3" t="s">
        <v>193</v>
      </c>
      <c r="F115" s="24">
        <v>1</v>
      </c>
      <c r="G115" s="180">
        <v>0</v>
      </c>
      <c r="H115" s="24">
        <f t="shared" si="158"/>
        <v>0</v>
      </c>
      <c r="I115" s="24">
        <f t="shared" si="159"/>
        <v>0</v>
      </c>
      <c r="J115" s="24">
        <f t="shared" si="160"/>
        <v>0</v>
      </c>
      <c r="K115" s="25"/>
      <c r="Z115" s="24">
        <f t="shared" si="161"/>
        <v>0</v>
      </c>
      <c r="AB115" s="24">
        <f t="shared" si="162"/>
        <v>0</v>
      </c>
      <c r="AC115" s="24">
        <f t="shared" si="163"/>
        <v>0</v>
      </c>
      <c r="AD115" s="24">
        <f t="shared" si="164"/>
        <v>0</v>
      </c>
      <c r="AE115" s="24">
        <f t="shared" si="165"/>
        <v>0</v>
      </c>
      <c r="AF115" s="24">
        <f t="shared" si="166"/>
        <v>0</v>
      </c>
      <c r="AG115" s="24">
        <f t="shared" si="167"/>
        <v>0</v>
      </c>
      <c r="AH115" s="24">
        <f t="shared" si="168"/>
        <v>0</v>
      </c>
      <c r="AI115" s="10" t="s">
        <v>43</v>
      </c>
      <c r="AJ115" s="24">
        <f t="shared" si="169"/>
        <v>0</v>
      </c>
      <c r="AK115" s="24">
        <f t="shared" si="170"/>
        <v>0</v>
      </c>
      <c r="AL115" s="24">
        <f t="shared" si="171"/>
        <v>0</v>
      </c>
      <c r="AN115" s="24">
        <v>21</v>
      </c>
      <c r="AO115" s="24">
        <f>G115*0.371572691</f>
        <v>0</v>
      </c>
      <c r="AP115" s="24">
        <f>G115*(1-0.371572691)</f>
        <v>0</v>
      </c>
      <c r="AQ115" s="26" t="s">
        <v>73</v>
      </c>
      <c r="AV115" s="24">
        <f t="shared" si="172"/>
        <v>0</v>
      </c>
      <c r="AW115" s="24">
        <f t="shared" si="173"/>
        <v>0</v>
      </c>
      <c r="AX115" s="24">
        <f t="shared" si="174"/>
        <v>0</v>
      </c>
      <c r="AY115" s="26" t="s">
        <v>293</v>
      </c>
      <c r="AZ115" s="26" t="s">
        <v>271</v>
      </c>
      <c r="BA115" s="10" t="s">
        <v>52</v>
      </c>
      <c r="BC115" s="24">
        <f t="shared" si="175"/>
        <v>0</v>
      </c>
      <c r="BD115" s="24">
        <f t="shared" si="176"/>
        <v>0</v>
      </c>
      <c r="BE115" s="24">
        <v>0</v>
      </c>
      <c r="BF115" s="24">
        <f>112</f>
        <v>112</v>
      </c>
      <c r="BH115" s="24">
        <f t="shared" si="177"/>
        <v>0</v>
      </c>
      <c r="BI115" s="24">
        <f t="shared" si="178"/>
        <v>0</v>
      </c>
      <c r="BJ115" s="24">
        <f t="shared" si="179"/>
        <v>0</v>
      </c>
      <c r="BK115" s="26" t="s">
        <v>53</v>
      </c>
      <c r="BL115" s="24">
        <v>767</v>
      </c>
      <c r="BW115" s="24">
        <v>21</v>
      </c>
      <c r="BX115" s="4" t="s">
        <v>357</v>
      </c>
    </row>
    <row r="116" spans="1:76" ht="14.4" x14ac:dyDescent="0.3">
      <c r="A116" s="2" t="s">
        <v>358</v>
      </c>
      <c r="B116" s="3" t="s">
        <v>359</v>
      </c>
      <c r="C116" s="82" t="s">
        <v>360</v>
      </c>
      <c r="D116" s="81"/>
      <c r="E116" s="3" t="s">
        <v>76</v>
      </c>
      <c r="F116" s="24">
        <v>6</v>
      </c>
      <c r="G116" s="180">
        <v>0</v>
      </c>
      <c r="H116" s="24">
        <f t="shared" si="158"/>
        <v>0</v>
      </c>
      <c r="I116" s="24">
        <f t="shared" si="159"/>
        <v>0</v>
      </c>
      <c r="J116" s="24">
        <f t="shared" si="160"/>
        <v>0</v>
      </c>
      <c r="K116" s="25"/>
      <c r="Z116" s="24">
        <f t="shared" si="161"/>
        <v>0</v>
      </c>
      <c r="AB116" s="24">
        <f t="shared" si="162"/>
        <v>0</v>
      </c>
      <c r="AC116" s="24">
        <f t="shared" si="163"/>
        <v>0</v>
      </c>
      <c r="AD116" s="24">
        <f t="shared" si="164"/>
        <v>0</v>
      </c>
      <c r="AE116" s="24">
        <f t="shared" si="165"/>
        <v>0</v>
      </c>
      <c r="AF116" s="24">
        <f t="shared" si="166"/>
        <v>0</v>
      </c>
      <c r="AG116" s="24">
        <f t="shared" si="167"/>
        <v>0</v>
      </c>
      <c r="AH116" s="24">
        <f t="shared" si="168"/>
        <v>0</v>
      </c>
      <c r="AI116" s="10" t="s">
        <v>43</v>
      </c>
      <c r="AJ116" s="24">
        <f t="shared" si="169"/>
        <v>0</v>
      </c>
      <c r="AK116" s="24">
        <f t="shared" si="170"/>
        <v>0</v>
      </c>
      <c r="AL116" s="24">
        <f t="shared" si="171"/>
        <v>0</v>
      </c>
      <c r="AN116" s="24">
        <v>21</v>
      </c>
      <c r="AO116" s="24">
        <f>G116*1</f>
        <v>0</v>
      </c>
      <c r="AP116" s="24">
        <f>G116*(1-1)</f>
        <v>0</v>
      </c>
      <c r="AQ116" s="26" t="s">
        <v>73</v>
      </c>
      <c r="AV116" s="24">
        <f t="shared" si="172"/>
        <v>0</v>
      </c>
      <c r="AW116" s="24">
        <f t="shared" si="173"/>
        <v>0</v>
      </c>
      <c r="AX116" s="24">
        <f t="shared" si="174"/>
        <v>0</v>
      </c>
      <c r="AY116" s="26" t="s">
        <v>293</v>
      </c>
      <c r="AZ116" s="26" t="s">
        <v>271</v>
      </c>
      <c r="BA116" s="10" t="s">
        <v>52</v>
      </c>
      <c r="BC116" s="24">
        <f t="shared" si="175"/>
        <v>0</v>
      </c>
      <c r="BD116" s="24">
        <f t="shared" si="176"/>
        <v>0</v>
      </c>
      <c r="BE116" s="24">
        <v>0</v>
      </c>
      <c r="BF116" s="24">
        <f>113</f>
        <v>113</v>
      </c>
      <c r="BH116" s="24">
        <f t="shared" si="177"/>
        <v>0</v>
      </c>
      <c r="BI116" s="24">
        <f t="shared" si="178"/>
        <v>0</v>
      </c>
      <c r="BJ116" s="24">
        <f t="shared" si="179"/>
        <v>0</v>
      </c>
      <c r="BK116" s="26" t="s">
        <v>103</v>
      </c>
      <c r="BL116" s="24">
        <v>767</v>
      </c>
      <c r="BW116" s="24">
        <v>21</v>
      </c>
      <c r="BX116" s="4" t="s">
        <v>360</v>
      </c>
    </row>
    <row r="117" spans="1:76" ht="14.4" x14ac:dyDescent="0.3">
      <c r="A117" s="2" t="s">
        <v>361</v>
      </c>
      <c r="B117" s="3" t="s">
        <v>362</v>
      </c>
      <c r="C117" s="82" t="s">
        <v>363</v>
      </c>
      <c r="D117" s="81"/>
      <c r="E117" s="3" t="s">
        <v>76</v>
      </c>
      <c r="F117" s="24">
        <v>6</v>
      </c>
      <c r="G117" s="180">
        <v>0</v>
      </c>
      <c r="H117" s="24">
        <f t="shared" si="158"/>
        <v>0</v>
      </c>
      <c r="I117" s="24">
        <f t="shared" si="159"/>
        <v>0</v>
      </c>
      <c r="J117" s="24">
        <f t="shared" si="160"/>
        <v>0</v>
      </c>
      <c r="K117" s="25"/>
      <c r="Z117" s="24">
        <f t="shared" si="161"/>
        <v>0</v>
      </c>
      <c r="AB117" s="24">
        <f t="shared" si="162"/>
        <v>0</v>
      </c>
      <c r="AC117" s="24">
        <f t="shared" si="163"/>
        <v>0</v>
      </c>
      <c r="AD117" s="24">
        <f t="shared" si="164"/>
        <v>0</v>
      </c>
      <c r="AE117" s="24">
        <f t="shared" si="165"/>
        <v>0</v>
      </c>
      <c r="AF117" s="24">
        <f t="shared" si="166"/>
        <v>0</v>
      </c>
      <c r="AG117" s="24">
        <f t="shared" si="167"/>
        <v>0</v>
      </c>
      <c r="AH117" s="24">
        <f t="shared" si="168"/>
        <v>0</v>
      </c>
      <c r="AI117" s="10" t="s">
        <v>43</v>
      </c>
      <c r="AJ117" s="24">
        <f t="shared" si="169"/>
        <v>0</v>
      </c>
      <c r="AK117" s="24">
        <f t="shared" si="170"/>
        <v>0</v>
      </c>
      <c r="AL117" s="24">
        <f t="shared" si="171"/>
        <v>0</v>
      </c>
      <c r="AN117" s="24">
        <v>21</v>
      </c>
      <c r="AO117" s="24">
        <f>G117*1</f>
        <v>0</v>
      </c>
      <c r="AP117" s="24">
        <f>G117*(1-1)</f>
        <v>0</v>
      </c>
      <c r="AQ117" s="26" t="s">
        <v>73</v>
      </c>
      <c r="AV117" s="24">
        <f t="shared" si="172"/>
        <v>0</v>
      </c>
      <c r="AW117" s="24">
        <f t="shared" si="173"/>
        <v>0</v>
      </c>
      <c r="AX117" s="24">
        <f t="shared" si="174"/>
        <v>0</v>
      </c>
      <c r="AY117" s="26" t="s">
        <v>293</v>
      </c>
      <c r="AZ117" s="26" t="s">
        <v>271</v>
      </c>
      <c r="BA117" s="10" t="s">
        <v>52</v>
      </c>
      <c r="BC117" s="24">
        <f t="shared" si="175"/>
        <v>0</v>
      </c>
      <c r="BD117" s="24">
        <f t="shared" si="176"/>
        <v>0</v>
      </c>
      <c r="BE117" s="24">
        <v>0</v>
      </c>
      <c r="BF117" s="24">
        <f>114</f>
        <v>114</v>
      </c>
      <c r="BH117" s="24">
        <f t="shared" si="177"/>
        <v>0</v>
      </c>
      <c r="BI117" s="24">
        <f t="shared" si="178"/>
        <v>0</v>
      </c>
      <c r="BJ117" s="24">
        <f t="shared" si="179"/>
        <v>0</v>
      </c>
      <c r="BK117" s="26" t="s">
        <v>103</v>
      </c>
      <c r="BL117" s="24">
        <v>767</v>
      </c>
      <c r="BW117" s="24">
        <v>21</v>
      </c>
      <c r="BX117" s="4" t="s">
        <v>363</v>
      </c>
    </row>
    <row r="118" spans="1:76" ht="14.4" x14ac:dyDescent="0.3">
      <c r="A118" s="2" t="s">
        <v>364</v>
      </c>
      <c r="B118" s="3" t="s">
        <v>365</v>
      </c>
      <c r="C118" s="82" t="s">
        <v>366</v>
      </c>
      <c r="D118" s="81"/>
      <c r="E118" s="3" t="s">
        <v>76</v>
      </c>
      <c r="F118" s="24">
        <v>1</v>
      </c>
      <c r="G118" s="180">
        <v>0</v>
      </c>
      <c r="H118" s="24">
        <f t="shared" si="158"/>
        <v>0</v>
      </c>
      <c r="I118" s="24">
        <f t="shared" si="159"/>
        <v>0</v>
      </c>
      <c r="J118" s="24">
        <f t="shared" si="160"/>
        <v>0</v>
      </c>
      <c r="K118" s="25"/>
      <c r="Z118" s="24">
        <f t="shared" si="161"/>
        <v>0</v>
      </c>
      <c r="AB118" s="24">
        <f t="shared" si="162"/>
        <v>0</v>
      </c>
      <c r="AC118" s="24">
        <f t="shared" si="163"/>
        <v>0</v>
      </c>
      <c r="AD118" s="24">
        <f t="shared" si="164"/>
        <v>0</v>
      </c>
      <c r="AE118" s="24">
        <f t="shared" si="165"/>
        <v>0</v>
      </c>
      <c r="AF118" s="24">
        <f t="shared" si="166"/>
        <v>0</v>
      </c>
      <c r="AG118" s="24">
        <f t="shared" si="167"/>
        <v>0</v>
      </c>
      <c r="AH118" s="24">
        <f t="shared" si="168"/>
        <v>0</v>
      </c>
      <c r="AI118" s="10" t="s">
        <v>43</v>
      </c>
      <c r="AJ118" s="24">
        <f t="shared" si="169"/>
        <v>0</v>
      </c>
      <c r="AK118" s="24">
        <f t="shared" si="170"/>
        <v>0</v>
      </c>
      <c r="AL118" s="24">
        <f t="shared" si="171"/>
        <v>0</v>
      </c>
      <c r="AN118" s="24">
        <v>21</v>
      </c>
      <c r="AO118" s="24">
        <f>G118*1</f>
        <v>0</v>
      </c>
      <c r="AP118" s="24">
        <f>G118*(1-1)</f>
        <v>0</v>
      </c>
      <c r="AQ118" s="26" t="s">
        <v>73</v>
      </c>
      <c r="AV118" s="24">
        <f t="shared" si="172"/>
        <v>0</v>
      </c>
      <c r="AW118" s="24">
        <f t="shared" si="173"/>
        <v>0</v>
      </c>
      <c r="AX118" s="24">
        <f t="shared" si="174"/>
        <v>0</v>
      </c>
      <c r="AY118" s="26" t="s">
        <v>293</v>
      </c>
      <c r="AZ118" s="26" t="s">
        <v>271</v>
      </c>
      <c r="BA118" s="10" t="s">
        <v>52</v>
      </c>
      <c r="BC118" s="24">
        <f t="shared" si="175"/>
        <v>0</v>
      </c>
      <c r="BD118" s="24">
        <f t="shared" si="176"/>
        <v>0</v>
      </c>
      <c r="BE118" s="24">
        <v>0</v>
      </c>
      <c r="BF118" s="24">
        <f>115</f>
        <v>115</v>
      </c>
      <c r="BH118" s="24">
        <f t="shared" si="177"/>
        <v>0</v>
      </c>
      <c r="BI118" s="24">
        <f t="shared" si="178"/>
        <v>0</v>
      </c>
      <c r="BJ118" s="24">
        <f t="shared" si="179"/>
        <v>0</v>
      </c>
      <c r="BK118" s="26" t="s">
        <v>103</v>
      </c>
      <c r="BL118" s="24">
        <v>767</v>
      </c>
      <c r="BW118" s="24">
        <v>21</v>
      </c>
      <c r="BX118" s="4" t="s">
        <v>366</v>
      </c>
    </row>
    <row r="119" spans="1:76" ht="14.4" x14ac:dyDescent="0.3">
      <c r="A119" s="2" t="s">
        <v>367</v>
      </c>
      <c r="B119" s="3" t="s">
        <v>368</v>
      </c>
      <c r="C119" s="82" t="s">
        <v>369</v>
      </c>
      <c r="D119" s="81"/>
      <c r="E119" s="3" t="s">
        <v>321</v>
      </c>
      <c r="F119" s="24">
        <v>230</v>
      </c>
      <c r="G119" s="180">
        <v>0</v>
      </c>
      <c r="H119" s="24">
        <f t="shared" si="158"/>
        <v>0</v>
      </c>
      <c r="I119" s="24">
        <f t="shared" si="159"/>
        <v>0</v>
      </c>
      <c r="J119" s="24">
        <f t="shared" si="160"/>
        <v>0</v>
      </c>
      <c r="K119" s="25"/>
      <c r="Z119" s="24">
        <f t="shared" si="161"/>
        <v>0</v>
      </c>
      <c r="AB119" s="24">
        <f t="shared" si="162"/>
        <v>0</v>
      </c>
      <c r="AC119" s="24">
        <f t="shared" si="163"/>
        <v>0</v>
      </c>
      <c r="AD119" s="24">
        <f t="shared" si="164"/>
        <v>0</v>
      </c>
      <c r="AE119" s="24">
        <f t="shared" si="165"/>
        <v>0</v>
      </c>
      <c r="AF119" s="24">
        <f t="shared" si="166"/>
        <v>0</v>
      </c>
      <c r="AG119" s="24">
        <f t="shared" si="167"/>
        <v>0</v>
      </c>
      <c r="AH119" s="24">
        <f t="shared" si="168"/>
        <v>0</v>
      </c>
      <c r="AI119" s="10" t="s">
        <v>43</v>
      </c>
      <c r="AJ119" s="24">
        <f t="shared" si="169"/>
        <v>0</v>
      </c>
      <c r="AK119" s="24">
        <f t="shared" si="170"/>
        <v>0</v>
      </c>
      <c r="AL119" s="24">
        <f t="shared" si="171"/>
        <v>0</v>
      </c>
      <c r="AN119" s="24">
        <v>21</v>
      </c>
      <c r="AO119" s="24">
        <f>G119*0.28807601</f>
        <v>0</v>
      </c>
      <c r="AP119" s="24">
        <f>G119*(1-0.28807601)</f>
        <v>0</v>
      </c>
      <c r="AQ119" s="26" t="s">
        <v>73</v>
      </c>
      <c r="AV119" s="24">
        <f t="shared" si="172"/>
        <v>0</v>
      </c>
      <c r="AW119" s="24">
        <f t="shared" si="173"/>
        <v>0</v>
      </c>
      <c r="AX119" s="24">
        <f t="shared" si="174"/>
        <v>0</v>
      </c>
      <c r="AY119" s="26" t="s">
        <v>293</v>
      </c>
      <c r="AZ119" s="26" t="s">
        <v>271</v>
      </c>
      <c r="BA119" s="10" t="s">
        <v>52</v>
      </c>
      <c r="BC119" s="24">
        <f t="shared" si="175"/>
        <v>0</v>
      </c>
      <c r="BD119" s="24">
        <f t="shared" si="176"/>
        <v>0</v>
      </c>
      <c r="BE119" s="24">
        <v>0</v>
      </c>
      <c r="BF119" s="24">
        <f>116</f>
        <v>116</v>
      </c>
      <c r="BH119" s="24">
        <f t="shared" si="177"/>
        <v>0</v>
      </c>
      <c r="BI119" s="24">
        <f t="shared" si="178"/>
        <v>0</v>
      </c>
      <c r="BJ119" s="24">
        <f t="shared" si="179"/>
        <v>0</v>
      </c>
      <c r="BK119" s="26" t="s">
        <v>53</v>
      </c>
      <c r="BL119" s="24">
        <v>767</v>
      </c>
      <c r="BW119" s="24">
        <v>21</v>
      </c>
      <c r="BX119" s="4" t="s">
        <v>369</v>
      </c>
    </row>
    <row r="120" spans="1:76" ht="14.4" x14ac:dyDescent="0.3">
      <c r="A120" s="2" t="s">
        <v>370</v>
      </c>
      <c r="B120" s="3" t="s">
        <v>371</v>
      </c>
      <c r="C120" s="82" t="s">
        <v>372</v>
      </c>
      <c r="D120" s="81"/>
      <c r="E120" s="3" t="s">
        <v>321</v>
      </c>
      <c r="F120" s="24">
        <v>230</v>
      </c>
      <c r="G120" s="180">
        <v>0</v>
      </c>
      <c r="H120" s="24">
        <f t="shared" si="158"/>
        <v>0</v>
      </c>
      <c r="I120" s="24">
        <f t="shared" si="159"/>
        <v>0</v>
      </c>
      <c r="J120" s="24">
        <f t="shared" si="160"/>
        <v>0</v>
      </c>
      <c r="K120" s="25"/>
      <c r="Z120" s="24">
        <f t="shared" si="161"/>
        <v>0</v>
      </c>
      <c r="AB120" s="24">
        <f t="shared" si="162"/>
        <v>0</v>
      </c>
      <c r="AC120" s="24">
        <f t="shared" si="163"/>
        <v>0</v>
      </c>
      <c r="AD120" s="24">
        <f t="shared" si="164"/>
        <v>0</v>
      </c>
      <c r="AE120" s="24">
        <f t="shared" si="165"/>
        <v>0</v>
      </c>
      <c r="AF120" s="24">
        <f t="shared" si="166"/>
        <v>0</v>
      </c>
      <c r="AG120" s="24">
        <f t="shared" si="167"/>
        <v>0</v>
      </c>
      <c r="AH120" s="24">
        <f t="shared" si="168"/>
        <v>0</v>
      </c>
      <c r="AI120" s="10" t="s">
        <v>43</v>
      </c>
      <c r="AJ120" s="24">
        <f t="shared" si="169"/>
        <v>0</v>
      </c>
      <c r="AK120" s="24">
        <f t="shared" si="170"/>
        <v>0</v>
      </c>
      <c r="AL120" s="24">
        <f t="shared" si="171"/>
        <v>0</v>
      </c>
      <c r="AN120" s="24">
        <v>21</v>
      </c>
      <c r="AO120" s="24">
        <f>G120*0.3585</f>
        <v>0</v>
      </c>
      <c r="AP120" s="24">
        <f>G120*(1-0.3585)</f>
        <v>0</v>
      </c>
      <c r="AQ120" s="26" t="s">
        <v>73</v>
      </c>
      <c r="AV120" s="24">
        <f t="shared" si="172"/>
        <v>0</v>
      </c>
      <c r="AW120" s="24">
        <f t="shared" si="173"/>
        <v>0</v>
      </c>
      <c r="AX120" s="24">
        <f t="shared" si="174"/>
        <v>0</v>
      </c>
      <c r="AY120" s="26" t="s">
        <v>293</v>
      </c>
      <c r="AZ120" s="26" t="s">
        <v>271</v>
      </c>
      <c r="BA120" s="10" t="s">
        <v>52</v>
      </c>
      <c r="BC120" s="24">
        <f t="shared" si="175"/>
        <v>0</v>
      </c>
      <c r="BD120" s="24">
        <f t="shared" si="176"/>
        <v>0</v>
      </c>
      <c r="BE120" s="24">
        <v>0</v>
      </c>
      <c r="BF120" s="24">
        <f>117</f>
        <v>117</v>
      </c>
      <c r="BH120" s="24">
        <f t="shared" si="177"/>
        <v>0</v>
      </c>
      <c r="BI120" s="24">
        <f t="shared" si="178"/>
        <v>0</v>
      </c>
      <c r="BJ120" s="24">
        <f t="shared" si="179"/>
        <v>0</v>
      </c>
      <c r="BK120" s="26" t="s">
        <v>53</v>
      </c>
      <c r="BL120" s="24">
        <v>767</v>
      </c>
      <c r="BW120" s="24">
        <v>21</v>
      </c>
      <c r="BX120" s="4" t="s">
        <v>372</v>
      </c>
    </row>
    <row r="121" spans="1:76" ht="14.4" x14ac:dyDescent="0.3">
      <c r="A121" s="2" t="s">
        <v>373</v>
      </c>
      <c r="B121" s="3" t="s">
        <v>374</v>
      </c>
      <c r="C121" s="82" t="s">
        <v>375</v>
      </c>
      <c r="D121" s="81"/>
      <c r="E121" s="3" t="s">
        <v>261</v>
      </c>
      <c r="F121" s="24">
        <v>0.1062</v>
      </c>
      <c r="G121" s="180">
        <v>0</v>
      </c>
      <c r="H121" s="24">
        <f t="shared" si="158"/>
        <v>0</v>
      </c>
      <c r="I121" s="24">
        <f t="shared" si="159"/>
        <v>0</v>
      </c>
      <c r="J121" s="24">
        <f t="shared" si="160"/>
        <v>0</v>
      </c>
      <c r="K121" s="25"/>
      <c r="Z121" s="24">
        <f t="shared" si="161"/>
        <v>0</v>
      </c>
      <c r="AB121" s="24">
        <f t="shared" si="162"/>
        <v>0</v>
      </c>
      <c r="AC121" s="24">
        <f t="shared" si="163"/>
        <v>0</v>
      </c>
      <c r="AD121" s="24">
        <f t="shared" si="164"/>
        <v>0</v>
      </c>
      <c r="AE121" s="24">
        <f t="shared" si="165"/>
        <v>0</v>
      </c>
      <c r="AF121" s="24">
        <f t="shared" si="166"/>
        <v>0</v>
      </c>
      <c r="AG121" s="24">
        <f t="shared" si="167"/>
        <v>0</v>
      </c>
      <c r="AH121" s="24">
        <f t="shared" si="168"/>
        <v>0</v>
      </c>
      <c r="AI121" s="10" t="s">
        <v>43</v>
      </c>
      <c r="AJ121" s="24">
        <f t="shared" si="169"/>
        <v>0</v>
      </c>
      <c r="AK121" s="24">
        <f t="shared" si="170"/>
        <v>0</v>
      </c>
      <c r="AL121" s="24">
        <f t="shared" si="171"/>
        <v>0</v>
      </c>
      <c r="AN121" s="24">
        <v>21</v>
      </c>
      <c r="AO121" s="24">
        <f>G121*1</f>
        <v>0</v>
      </c>
      <c r="AP121" s="24">
        <f>G121*(1-1)</f>
        <v>0</v>
      </c>
      <c r="AQ121" s="26" t="s">
        <v>73</v>
      </c>
      <c r="AV121" s="24">
        <f t="shared" si="172"/>
        <v>0</v>
      </c>
      <c r="AW121" s="24">
        <f t="shared" si="173"/>
        <v>0</v>
      </c>
      <c r="AX121" s="24">
        <f t="shared" si="174"/>
        <v>0</v>
      </c>
      <c r="AY121" s="26" t="s">
        <v>293</v>
      </c>
      <c r="AZ121" s="26" t="s">
        <v>271</v>
      </c>
      <c r="BA121" s="10" t="s">
        <v>52</v>
      </c>
      <c r="BC121" s="24">
        <f t="shared" si="175"/>
        <v>0</v>
      </c>
      <c r="BD121" s="24">
        <f t="shared" si="176"/>
        <v>0</v>
      </c>
      <c r="BE121" s="24">
        <v>0</v>
      </c>
      <c r="BF121" s="24">
        <f>118</f>
        <v>118</v>
      </c>
      <c r="BH121" s="24">
        <f t="shared" si="177"/>
        <v>0</v>
      </c>
      <c r="BI121" s="24">
        <f t="shared" si="178"/>
        <v>0</v>
      </c>
      <c r="BJ121" s="24">
        <f t="shared" si="179"/>
        <v>0</v>
      </c>
      <c r="BK121" s="26" t="s">
        <v>103</v>
      </c>
      <c r="BL121" s="24">
        <v>767</v>
      </c>
      <c r="BW121" s="24">
        <v>21</v>
      </c>
      <c r="BX121" s="4" t="s">
        <v>375</v>
      </c>
    </row>
    <row r="122" spans="1:76" ht="14.4" x14ac:dyDescent="0.3">
      <c r="A122" s="2" t="s">
        <v>376</v>
      </c>
      <c r="B122" s="3" t="s">
        <v>377</v>
      </c>
      <c r="C122" s="82" t="s">
        <v>378</v>
      </c>
      <c r="D122" s="81"/>
      <c r="E122" s="3" t="s">
        <v>261</v>
      </c>
      <c r="F122" s="24">
        <v>9.0090000000000003E-2</v>
      </c>
      <c r="G122" s="180">
        <v>0</v>
      </c>
      <c r="H122" s="24">
        <f t="shared" si="158"/>
        <v>0</v>
      </c>
      <c r="I122" s="24">
        <f t="shared" si="159"/>
        <v>0</v>
      </c>
      <c r="J122" s="24">
        <f t="shared" si="160"/>
        <v>0</v>
      </c>
      <c r="K122" s="25"/>
      <c r="Z122" s="24">
        <f t="shared" si="161"/>
        <v>0</v>
      </c>
      <c r="AB122" s="24">
        <f t="shared" si="162"/>
        <v>0</v>
      </c>
      <c r="AC122" s="24">
        <f t="shared" si="163"/>
        <v>0</v>
      </c>
      <c r="AD122" s="24">
        <f t="shared" si="164"/>
        <v>0</v>
      </c>
      <c r="AE122" s="24">
        <f t="shared" si="165"/>
        <v>0</v>
      </c>
      <c r="AF122" s="24">
        <f t="shared" si="166"/>
        <v>0</v>
      </c>
      <c r="AG122" s="24">
        <f t="shared" si="167"/>
        <v>0</v>
      </c>
      <c r="AH122" s="24">
        <f t="shared" si="168"/>
        <v>0</v>
      </c>
      <c r="AI122" s="10" t="s">
        <v>43</v>
      </c>
      <c r="AJ122" s="24">
        <f t="shared" si="169"/>
        <v>0</v>
      </c>
      <c r="AK122" s="24">
        <f t="shared" si="170"/>
        <v>0</v>
      </c>
      <c r="AL122" s="24">
        <f t="shared" si="171"/>
        <v>0</v>
      </c>
      <c r="AN122" s="24">
        <v>21</v>
      </c>
      <c r="AO122" s="24">
        <f>G122*1</f>
        <v>0</v>
      </c>
      <c r="AP122" s="24">
        <f>G122*(1-1)</f>
        <v>0</v>
      </c>
      <c r="AQ122" s="26" t="s">
        <v>73</v>
      </c>
      <c r="AV122" s="24">
        <f t="shared" si="172"/>
        <v>0</v>
      </c>
      <c r="AW122" s="24">
        <f t="shared" si="173"/>
        <v>0</v>
      </c>
      <c r="AX122" s="24">
        <f t="shared" si="174"/>
        <v>0</v>
      </c>
      <c r="AY122" s="26" t="s">
        <v>293</v>
      </c>
      <c r="AZ122" s="26" t="s">
        <v>271</v>
      </c>
      <c r="BA122" s="10" t="s">
        <v>52</v>
      </c>
      <c r="BC122" s="24">
        <f t="shared" si="175"/>
        <v>0</v>
      </c>
      <c r="BD122" s="24">
        <f t="shared" si="176"/>
        <v>0</v>
      </c>
      <c r="BE122" s="24">
        <v>0</v>
      </c>
      <c r="BF122" s="24">
        <f>119</f>
        <v>119</v>
      </c>
      <c r="BH122" s="24">
        <f t="shared" si="177"/>
        <v>0</v>
      </c>
      <c r="BI122" s="24">
        <f t="shared" si="178"/>
        <v>0</v>
      </c>
      <c r="BJ122" s="24">
        <f t="shared" si="179"/>
        <v>0</v>
      </c>
      <c r="BK122" s="26" t="s">
        <v>103</v>
      </c>
      <c r="BL122" s="24">
        <v>767</v>
      </c>
      <c r="BW122" s="24">
        <v>21</v>
      </c>
      <c r="BX122" s="4" t="s">
        <v>378</v>
      </c>
    </row>
    <row r="123" spans="1:76" ht="14.4" x14ac:dyDescent="0.3">
      <c r="A123" s="2" t="s">
        <v>379</v>
      </c>
      <c r="B123" s="3" t="s">
        <v>341</v>
      </c>
      <c r="C123" s="82" t="s">
        <v>342</v>
      </c>
      <c r="D123" s="81"/>
      <c r="E123" s="3" t="s">
        <v>261</v>
      </c>
      <c r="F123" s="24">
        <v>1.5800000000000002E-2</v>
      </c>
      <c r="G123" s="180">
        <v>0</v>
      </c>
      <c r="H123" s="24">
        <f t="shared" si="158"/>
        <v>0</v>
      </c>
      <c r="I123" s="24">
        <f t="shared" si="159"/>
        <v>0</v>
      </c>
      <c r="J123" s="24">
        <f t="shared" si="160"/>
        <v>0</v>
      </c>
      <c r="K123" s="25"/>
      <c r="Z123" s="24">
        <f t="shared" si="161"/>
        <v>0</v>
      </c>
      <c r="AB123" s="24">
        <f t="shared" si="162"/>
        <v>0</v>
      </c>
      <c r="AC123" s="24">
        <f t="shared" si="163"/>
        <v>0</v>
      </c>
      <c r="AD123" s="24">
        <f t="shared" si="164"/>
        <v>0</v>
      </c>
      <c r="AE123" s="24">
        <f t="shared" si="165"/>
        <v>0</v>
      </c>
      <c r="AF123" s="24">
        <f t="shared" si="166"/>
        <v>0</v>
      </c>
      <c r="AG123" s="24">
        <f t="shared" si="167"/>
        <v>0</v>
      </c>
      <c r="AH123" s="24">
        <f t="shared" si="168"/>
        <v>0</v>
      </c>
      <c r="AI123" s="10" t="s">
        <v>43</v>
      </c>
      <c r="AJ123" s="24">
        <f t="shared" si="169"/>
        <v>0</v>
      </c>
      <c r="AK123" s="24">
        <f t="shared" si="170"/>
        <v>0</v>
      </c>
      <c r="AL123" s="24">
        <f t="shared" si="171"/>
        <v>0</v>
      </c>
      <c r="AN123" s="24">
        <v>21</v>
      </c>
      <c r="AO123" s="24">
        <f>G123*1</f>
        <v>0</v>
      </c>
      <c r="AP123" s="24">
        <f>G123*(1-1)</f>
        <v>0</v>
      </c>
      <c r="AQ123" s="26" t="s">
        <v>73</v>
      </c>
      <c r="AV123" s="24">
        <f t="shared" si="172"/>
        <v>0</v>
      </c>
      <c r="AW123" s="24">
        <f t="shared" si="173"/>
        <v>0</v>
      </c>
      <c r="AX123" s="24">
        <f t="shared" si="174"/>
        <v>0</v>
      </c>
      <c r="AY123" s="26" t="s">
        <v>293</v>
      </c>
      <c r="AZ123" s="26" t="s">
        <v>271</v>
      </c>
      <c r="BA123" s="10" t="s">
        <v>52</v>
      </c>
      <c r="BC123" s="24">
        <f t="shared" si="175"/>
        <v>0</v>
      </c>
      <c r="BD123" s="24">
        <f t="shared" si="176"/>
        <v>0</v>
      </c>
      <c r="BE123" s="24">
        <v>0</v>
      </c>
      <c r="BF123" s="24">
        <f>120</f>
        <v>120</v>
      </c>
      <c r="BH123" s="24">
        <f t="shared" si="177"/>
        <v>0</v>
      </c>
      <c r="BI123" s="24">
        <f t="shared" si="178"/>
        <v>0</v>
      </c>
      <c r="BJ123" s="24">
        <f t="shared" si="179"/>
        <v>0</v>
      </c>
      <c r="BK123" s="26" t="s">
        <v>103</v>
      </c>
      <c r="BL123" s="24">
        <v>767</v>
      </c>
      <c r="BW123" s="24">
        <v>21</v>
      </c>
      <c r="BX123" s="4" t="s">
        <v>342</v>
      </c>
    </row>
    <row r="124" spans="1:76" ht="14.4" x14ac:dyDescent="0.3">
      <c r="A124" s="2" t="s">
        <v>380</v>
      </c>
      <c r="B124" s="3" t="s">
        <v>381</v>
      </c>
      <c r="C124" s="82" t="s">
        <v>382</v>
      </c>
      <c r="D124" s="81"/>
      <c r="E124" s="3" t="s">
        <v>215</v>
      </c>
      <c r="F124" s="24">
        <v>28277</v>
      </c>
      <c r="G124" s="180">
        <v>0</v>
      </c>
      <c r="H124" s="24">
        <f t="shared" si="158"/>
        <v>0</v>
      </c>
      <c r="I124" s="24">
        <f t="shared" si="159"/>
        <v>0</v>
      </c>
      <c r="J124" s="24">
        <f t="shared" si="160"/>
        <v>0</v>
      </c>
      <c r="K124" s="25"/>
      <c r="Z124" s="24">
        <f t="shared" si="161"/>
        <v>0</v>
      </c>
      <c r="AB124" s="24">
        <f t="shared" si="162"/>
        <v>0</v>
      </c>
      <c r="AC124" s="24">
        <f t="shared" si="163"/>
        <v>0</v>
      </c>
      <c r="AD124" s="24">
        <f t="shared" si="164"/>
        <v>0</v>
      </c>
      <c r="AE124" s="24">
        <f t="shared" si="165"/>
        <v>0</v>
      </c>
      <c r="AF124" s="24">
        <f t="shared" si="166"/>
        <v>0</v>
      </c>
      <c r="AG124" s="24">
        <f t="shared" si="167"/>
        <v>0</v>
      </c>
      <c r="AH124" s="24">
        <f t="shared" si="168"/>
        <v>0</v>
      </c>
      <c r="AI124" s="10" t="s">
        <v>43</v>
      </c>
      <c r="AJ124" s="24">
        <f t="shared" si="169"/>
        <v>0</v>
      </c>
      <c r="AK124" s="24">
        <f t="shared" si="170"/>
        <v>0</v>
      </c>
      <c r="AL124" s="24">
        <f t="shared" si="171"/>
        <v>0</v>
      </c>
      <c r="AN124" s="24">
        <v>21</v>
      </c>
      <c r="AO124" s="24">
        <f>G124*0</f>
        <v>0</v>
      </c>
      <c r="AP124" s="24">
        <f>G124*(1-0)</f>
        <v>0</v>
      </c>
      <c r="AQ124" s="26" t="s">
        <v>64</v>
      </c>
      <c r="AV124" s="24">
        <f t="shared" si="172"/>
        <v>0</v>
      </c>
      <c r="AW124" s="24">
        <f t="shared" si="173"/>
        <v>0</v>
      </c>
      <c r="AX124" s="24">
        <f t="shared" si="174"/>
        <v>0</v>
      </c>
      <c r="AY124" s="26" t="s">
        <v>293</v>
      </c>
      <c r="AZ124" s="26" t="s">
        <v>271</v>
      </c>
      <c r="BA124" s="10" t="s">
        <v>52</v>
      </c>
      <c r="BC124" s="24">
        <f t="shared" si="175"/>
        <v>0</v>
      </c>
      <c r="BD124" s="24">
        <f t="shared" si="176"/>
        <v>0</v>
      </c>
      <c r="BE124" s="24">
        <v>0</v>
      </c>
      <c r="BF124" s="24">
        <f>121</f>
        <v>121</v>
      </c>
      <c r="BH124" s="24">
        <f t="shared" si="177"/>
        <v>0</v>
      </c>
      <c r="BI124" s="24">
        <f t="shared" si="178"/>
        <v>0</v>
      </c>
      <c r="BJ124" s="24">
        <f t="shared" si="179"/>
        <v>0</v>
      </c>
      <c r="BK124" s="26" t="s">
        <v>53</v>
      </c>
      <c r="BL124" s="24">
        <v>767</v>
      </c>
      <c r="BW124" s="24">
        <v>21</v>
      </c>
      <c r="BX124" s="4" t="s">
        <v>382</v>
      </c>
    </row>
    <row r="125" spans="1:76" ht="14.4" x14ac:dyDescent="0.3">
      <c r="A125" s="27" t="s">
        <v>43</v>
      </c>
      <c r="B125" s="28" t="s">
        <v>383</v>
      </c>
      <c r="C125" s="98" t="s">
        <v>384</v>
      </c>
      <c r="D125" s="99"/>
      <c r="E125" s="29" t="s">
        <v>3</v>
      </c>
      <c r="F125" s="29" t="s">
        <v>3</v>
      </c>
      <c r="G125" s="29" t="s">
        <v>3</v>
      </c>
      <c r="H125" s="1">
        <f>ROUND(SUM(H126:H126),2)</f>
        <v>0</v>
      </c>
      <c r="I125" s="1">
        <f>ROUND(SUM(I126:I126),2)</f>
        <v>0</v>
      </c>
      <c r="J125" s="1">
        <f>ROUND(SUM(J126:J126),2)</f>
        <v>0</v>
      </c>
      <c r="K125" s="30"/>
      <c r="AI125" s="10" t="s">
        <v>43</v>
      </c>
      <c r="AS125" s="1">
        <f>SUM(AJ126:AJ126)</f>
        <v>0</v>
      </c>
      <c r="AT125" s="1">
        <f>SUM(AK126:AK126)</f>
        <v>0</v>
      </c>
      <c r="AU125" s="1">
        <f>SUM(AL126:AL126)</f>
        <v>0</v>
      </c>
    </row>
    <row r="126" spans="1:76" ht="14.4" x14ac:dyDescent="0.3">
      <c r="A126" s="2" t="s">
        <v>385</v>
      </c>
      <c r="B126" s="3" t="s">
        <v>386</v>
      </c>
      <c r="C126" s="82" t="s">
        <v>387</v>
      </c>
      <c r="D126" s="81"/>
      <c r="E126" s="3" t="s">
        <v>193</v>
      </c>
      <c r="F126" s="24">
        <v>1</v>
      </c>
      <c r="G126" s="180">
        <v>0</v>
      </c>
      <c r="H126" s="24">
        <f>ROUND(F126*AO126,2)</f>
        <v>0</v>
      </c>
      <c r="I126" s="24">
        <f>ROUND(F126*AP126,2)</f>
        <v>0</v>
      </c>
      <c r="J126" s="24">
        <f>ROUND(F126*G126,2)</f>
        <v>0</v>
      </c>
      <c r="K126" s="25"/>
      <c r="Z126" s="24">
        <f>ROUND(IF(AQ126="5",BJ126,0),2)</f>
        <v>0</v>
      </c>
      <c r="AB126" s="24">
        <f>ROUND(IF(AQ126="1",BH126,0),2)</f>
        <v>0</v>
      </c>
      <c r="AC126" s="24">
        <f>ROUND(IF(AQ126="1",BI126,0),2)</f>
        <v>0</v>
      </c>
      <c r="AD126" s="24">
        <f>ROUND(IF(AQ126="7",BH126,0),2)</f>
        <v>0</v>
      </c>
      <c r="AE126" s="24">
        <f>ROUND(IF(AQ126="7",BI126,0),2)</f>
        <v>0</v>
      </c>
      <c r="AF126" s="24">
        <f>ROUND(IF(AQ126="2",BH126,0),2)</f>
        <v>0</v>
      </c>
      <c r="AG126" s="24">
        <f>ROUND(IF(AQ126="2",BI126,0),2)</f>
        <v>0</v>
      </c>
      <c r="AH126" s="24">
        <f>ROUND(IF(AQ126="0",BJ126,0),2)</f>
        <v>0</v>
      </c>
      <c r="AI126" s="10" t="s">
        <v>43</v>
      </c>
      <c r="AJ126" s="24">
        <f>IF(AN126=0,J126,0)</f>
        <v>0</v>
      </c>
      <c r="AK126" s="24">
        <f>IF(AN126=12,J126,0)</f>
        <v>0</v>
      </c>
      <c r="AL126" s="24">
        <f>IF(AN126=21,J126,0)</f>
        <v>0</v>
      </c>
      <c r="AN126" s="24">
        <v>21</v>
      </c>
      <c r="AO126" s="24">
        <f>G126*0</f>
        <v>0</v>
      </c>
      <c r="AP126" s="24">
        <f>G126*(1-0)</f>
        <v>0</v>
      </c>
      <c r="AQ126" s="26" t="s">
        <v>73</v>
      </c>
      <c r="AV126" s="24">
        <f>ROUND(AW126+AX126,2)</f>
        <v>0</v>
      </c>
      <c r="AW126" s="24">
        <f>ROUND(F126*AO126,2)</f>
        <v>0</v>
      </c>
      <c r="AX126" s="24">
        <f>ROUND(F126*AP126,2)</f>
        <v>0</v>
      </c>
      <c r="AY126" s="26" t="s">
        <v>388</v>
      </c>
      <c r="AZ126" s="26" t="s">
        <v>389</v>
      </c>
      <c r="BA126" s="10" t="s">
        <v>52</v>
      </c>
      <c r="BC126" s="24">
        <f>AW126+AX126</f>
        <v>0</v>
      </c>
      <c r="BD126" s="24">
        <f>G126/(100-BE126)*100</f>
        <v>0</v>
      </c>
      <c r="BE126" s="24">
        <v>0</v>
      </c>
      <c r="BF126" s="24">
        <f>123</f>
        <v>123</v>
      </c>
      <c r="BH126" s="24">
        <f>F126*AO126</f>
        <v>0</v>
      </c>
      <c r="BI126" s="24">
        <f>F126*AP126</f>
        <v>0</v>
      </c>
      <c r="BJ126" s="24">
        <f>F126*G126</f>
        <v>0</v>
      </c>
      <c r="BK126" s="26" t="s">
        <v>53</v>
      </c>
      <c r="BL126" s="24">
        <v>771</v>
      </c>
      <c r="BW126" s="24">
        <v>21</v>
      </c>
      <c r="BX126" s="4" t="s">
        <v>387</v>
      </c>
    </row>
    <row r="127" spans="1:76" ht="14.4" x14ac:dyDescent="0.3">
      <c r="A127" s="27" t="s">
        <v>43</v>
      </c>
      <c r="B127" s="28" t="s">
        <v>390</v>
      </c>
      <c r="C127" s="98" t="s">
        <v>391</v>
      </c>
      <c r="D127" s="99"/>
      <c r="E127" s="29" t="s">
        <v>3</v>
      </c>
      <c r="F127" s="29" t="s">
        <v>3</v>
      </c>
      <c r="G127" s="29" t="s">
        <v>3</v>
      </c>
      <c r="H127" s="1">
        <f>ROUND(SUM(H128:H129),2)</f>
        <v>0</v>
      </c>
      <c r="I127" s="1">
        <f>ROUND(SUM(I128:I129),2)</f>
        <v>0</v>
      </c>
      <c r="J127" s="1">
        <f>ROUND(SUM(J128:J129),2)</f>
        <v>0</v>
      </c>
      <c r="K127" s="30"/>
      <c r="AI127" s="10" t="s">
        <v>43</v>
      </c>
      <c r="AS127" s="1">
        <f>SUM(AJ128:AJ129)</f>
        <v>0</v>
      </c>
      <c r="AT127" s="1">
        <f>SUM(AK128:AK129)</f>
        <v>0</v>
      </c>
      <c r="AU127" s="1">
        <f>SUM(AL128:AL129)</f>
        <v>0</v>
      </c>
    </row>
    <row r="128" spans="1:76" ht="14.4" x14ac:dyDescent="0.3">
      <c r="A128" s="2" t="s">
        <v>392</v>
      </c>
      <c r="B128" s="3" t="s">
        <v>393</v>
      </c>
      <c r="C128" s="82" t="s">
        <v>394</v>
      </c>
      <c r="D128" s="81"/>
      <c r="E128" s="3" t="s">
        <v>49</v>
      </c>
      <c r="F128" s="24">
        <v>133.80000000000001</v>
      </c>
      <c r="G128" s="180">
        <v>0</v>
      </c>
      <c r="H128" s="24">
        <f>ROUND(F128*AO128,2)</f>
        <v>0</v>
      </c>
      <c r="I128" s="24">
        <f>ROUND(F128*AP128,2)</f>
        <v>0</v>
      </c>
      <c r="J128" s="24">
        <f>ROUND(F128*G128,2)</f>
        <v>0</v>
      </c>
      <c r="K128" s="25"/>
      <c r="Z128" s="24">
        <f>ROUND(IF(AQ128="5",BJ128,0),2)</f>
        <v>0</v>
      </c>
      <c r="AB128" s="24">
        <f>ROUND(IF(AQ128="1",BH128,0),2)</f>
        <v>0</v>
      </c>
      <c r="AC128" s="24">
        <f>ROUND(IF(AQ128="1",BI128,0),2)</f>
        <v>0</v>
      </c>
      <c r="AD128" s="24">
        <f>ROUND(IF(AQ128="7",BH128,0),2)</f>
        <v>0</v>
      </c>
      <c r="AE128" s="24">
        <f>ROUND(IF(AQ128="7",BI128,0),2)</f>
        <v>0</v>
      </c>
      <c r="AF128" s="24">
        <f>ROUND(IF(AQ128="2",BH128,0),2)</f>
        <v>0</v>
      </c>
      <c r="AG128" s="24">
        <f>ROUND(IF(AQ128="2",BI128,0),2)</f>
        <v>0</v>
      </c>
      <c r="AH128" s="24">
        <f>ROUND(IF(AQ128="0",BJ128,0),2)</f>
        <v>0</v>
      </c>
      <c r="AI128" s="10" t="s">
        <v>43</v>
      </c>
      <c r="AJ128" s="24">
        <f>IF(AN128=0,J128,0)</f>
        <v>0</v>
      </c>
      <c r="AK128" s="24">
        <f>IF(AN128=12,J128,0)</f>
        <v>0</v>
      </c>
      <c r="AL128" s="24">
        <f>IF(AN128=21,J128,0)</f>
        <v>0</v>
      </c>
      <c r="AN128" s="24">
        <v>21</v>
      </c>
      <c r="AO128" s="24">
        <f>G128*0.629118734</f>
        <v>0</v>
      </c>
      <c r="AP128" s="24">
        <f>G128*(1-0.629118734)</f>
        <v>0</v>
      </c>
      <c r="AQ128" s="26" t="s">
        <v>73</v>
      </c>
      <c r="AV128" s="24">
        <f>ROUND(AW128+AX128,2)</f>
        <v>0</v>
      </c>
      <c r="AW128" s="24">
        <f>ROUND(F128*AO128,2)</f>
        <v>0</v>
      </c>
      <c r="AX128" s="24">
        <f>ROUND(F128*AP128,2)</f>
        <v>0</v>
      </c>
      <c r="AY128" s="26" t="s">
        <v>395</v>
      </c>
      <c r="AZ128" s="26" t="s">
        <v>389</v>
      </c>
      <c r="BA128" s="10" t="s">
        <v>52</v>
      </c>
      <c r="BC128" s="24">
        <f>AW128+AX128</f>
        <v>0</v>
      </c>
      <c r="BD128" s="24">
        <f>G128/(100-BE128)*100</f>
        <v>0</v>
      </c>
      <c r="BE128" s="24">
        <v>0</v>
      </c>
      <c r="BF128" s="24">
        <f>125</f>
        <v>125</v>
      </c>
      <c r="BH128" s="24">
        <f>F128*AO128</f>
        <v>0</v>
      </c>
      <c r="BI128" s="24">
        <f>F128*AP128</f>
        <v>0</v>
      </c>
      <c r="BJ128" s="24">
        <f>F128*G128</f>
        <v>0</v>
      </c>
      <c r="BK128" s="26" t="s">
        <v>53</v>
      </c>
      <c r="BL128" s="24">
        <v>776</v>
      </c>
      <c r="BW128" s="24">
        <v>21</v>
      </c>
      <c r="BX128" s="4" t="s">
        <v>394</v>
      </c>
    </row>
    <row r="129" spans="1:76" ht="14.4" x14ac:dyDescent="0.3">
      <c r="A129" s="2" t="s">
        <v>396</v>
      </c>
      <c r="B129" s="3" t="s">
        <v>397</v>
      </c>
      <c r="C129" s="82" t="s">
        <v>398</v>
      </c>
      <c r="D129" s="81"/>
      <c r="E129" s="3" t="s">
        <v>215</v>
      </c>
      <c r="F129" s="24">
        <v>1457</v>
      </c>
      <c r="G129" s="180">
        <v>0</v>
      </c>
      <c r="H129" s="24">
        <f>ROUND(F129*AO129,2)</f>
        <v>0</v>
      </c>
      <c r="I129" s="24">
        <f>ROUND(F129*AP129,2)</f>
        <v>0</v>
      </c>
      <c r="J129" s="24">
        <f>ROUND(F129*G129,2)</f>
        <v>0</v>
      </c>
      <c r="K129" s="25"/>
      <c r="Z129" s="24">
        <f>ROUND(IF(AQ129="5",BJ129,0),2)</f>
        <v>0</v>
      </c>
      <c r="AB129" s="24">
        <f>ROUND(IF(AQ129="1",BH129,0),2)</f>
        <v>0</v>
      </c>
      <c r="AC129" s="24">
        <f>ROUND(IF(AQ129="1",BI129,0),2)</f>
        <v>0</v>
      </c>
      <c r="AD129" s="24">
        <f>ROUND(IF(AQ129="7",BH129,0),2)</f>
        <v>0</v>
      </c>
      <c r="AE129" s="24">
        <f>ROUND(IF(AQ129="7",BI129,0),2)</f>
        <v>0</v>
      </c>
      <c r="AF129" s="24">
        <f>ROUND(IF(AQ129="2",BH129,0),2)</f>
        <v>0</v>
      </c>
      <c r="AG129" s="24">
        <f>ROUND(IF(AQ129="2",BI129,0),2)</f>
        <v>0</v>
      </c>
      <c r="AH129" s="24">
        <f>ROUND(IF(AQ129="0",BJ129,0),2)</f>
        <v>0</v>
      </c>
      <c r="AI129" s="10" t="s">
        <v>43</v>
      </c>
      <c r="AJ129" s="24">
        <f>IF(AN129=0,J129,0)</f>
        <v>0</v>
      </c>
      <c r="AK129" s="24">
        <f>IF(AN129=12,J129,0)</f>
        <v>0</v>
      </c>
      <c r="AL129" s="24">
        <f>IF(AN129=21,J129,0)</f>
        <v>0</v>
      </c>
      <c r="AN129" s="24">
        <v>21</v>
      </c>
      <c r="AO129" s="24">
        <f>G129*0</f>
        <v>0</v>
      </c>
      <c r="AP129" s="24">
        <f>G129*(1-0)</f>
        <v>0</v>
      </c>
      <c r="AQ129" s="26" t="s">
        <v>64</v>
      </c>
      <c r="AV129" s="24">
        <f>ROUND(AW129+AX129,2)</f>
        <v>0</v>
      </c>
      <c r="AW129" s="24">
        <f>ROUND(F129*AO129,2)</f>
        <v>0</v>
      </c>
      <c r="AX129" s="24">
        <f>ROUND(F129*AP129,2)</f>
        <v>0</v>
      </c>
      <c r="AY129" s="26" t="s">
        <v>395</v>
      </c>
      <c r="AZ129" s="26" t="s">
        <v>389</v>
      </c>
      <c r="BA129" s="10" t="s">
        <v>52</v>
      </c>
      <c r="BC129" s="24">
        <f>AW129+AX129</f>
        <v>0</v>
      </c>
      <c r="BD129" s="24">
        <f>G129/(100-BE129)*100</f>
        <v>0</v>
      </c>
      <c r="BE129" s="24">
        <v>0</v>
      </c>
      <c r="BF129" s="24">
        <f>126</f>
        <v>126</v>
      </c>
      <c r="BH129" s="24">
        <f>F129*AO129</f>
        <v>0</v>
      </c>
      <c r="BI129" s="24">
        <f>F129*AP129</f>
        <v>0</v>
      </c>
      <c r="BJ129" s="24">
        <f>F129*G129</f>
        <v>0</v>
      </c>
      <c r="BK129" s="26" t="s">
        <v>53</v>
      </c>
      <c r="BL129" s="24">
        <v>776</v>
      </c>
      <c r="BW129" s="24">
        <v>21</v>
      </c>
      <c r="BX129" s="4" t="s">
        <v>398</v>
      </c>
    </row>
    <row r="130" spans="1:76" ht="14.4" x14ac:dyDescent="0.3">
      <c r="A130" s="27" t="s">
        <v>43</v>
      </c>
      <c r="B130" s="28" t="s">
        <v>399</v>
      </c>
      <c r="C130" s="98" t="s">
        <v>400</v>
      </c>
      <c r="D130" s="99"/>
      <c r="E130" s="29" t="s">
        <v>3</v>
      </c>
      <c r="F130" s="29" t="s">
        <v>3</v>
      </c>
      <c r="G130" s="29" t="s">
        <v>3</v>
      </c>
      <c r="H130" s="1">
        <f>ROUND(SUM(H131:H132),2)</f>
        <v>0</v>
      </c>
      <c r="I130" s="1">
        <f>ROUND(SUM(I131:I132),2)</f>
        <v>0</v>
      </c>
      <c r="J130" s="1">
        <f>ROUND(SUM(J131:J132),2)</f>
        <v>0</v>
      </c>
      <c r="K130" s="30"/>
      <c r="AI130" s="10" t="s">
        <v>43</v>
      </c>
      <c r="AS130" s="1">
        <f>SUM(AJ131:AJ132)</f>
        <v>0</v>
      </c>
      <c r="AT130" s="1">
        <f>SUM(AK131:AK132)</f>
        <v>0</v>
      </c>
      <c r="AU130" s="1">
        <f>SUM(AL131:AL132)</f>
        <v>0</v>
      </c>
    </row>
    <row r="131" spans="1:76" ht="14.4" x14ac:dyDescent="0.3">
      <c r="A131" s="2" t="s">
        <v>401</v>
      </c>
      <c r="B131" s="3" t="s">
        <v>402</v>
      </c>
      <c r="C131" s="82" t="s">
        <v>403</v>
      </c>
      <c r="D131" s="81"/>
      <c r="E131" s="3" t="s">
        <v>49</v>
      </c>
      <c r="F131" s="24">
        <v>13.116</v>
      </c>
      <c r="G131" s="180">
        <v>0</v>
      </c>
      <c r="H131" s="24">
        <f>ROUND(F131*AO131,2)</f>
        <v>0</v>
      </c>
      <c r="I131" s="24">
        <f>ROUND(F131*AP131,2)</f>
        <v>0</v>
      </c>
      <c r="J131" s="24">
        <f>ROUND(F131*G131,2)</f>
        <v>0</v>
      </c>
      <c r="K131" s="25"/>
      <c r="Z131" s="24">
        <f>ROUND(IF(AQ131="5",BJ131,0),2)</f>
        <v>0</v>
      </c>
      <c r="AB131" s="24">
        <f>ROUND(IF(AQ131="1",BH131,0),2)</f>
        <v>0</v>
      </c>
      <c r="AC131" s="24">
        <f>ROUND(IF(AQ131="1",BI131,0),2)</f>
        <v>0</v>
      </c>
      <c r="AD131" s="24">
        <f>ROUND(IF(AQ131="7",BH131,0),2)</f>
        <v>0</v>
      </c>
      <c r="AE131" s="24">
        <f>ROUND(IF(AQ131="7",BI131,0),2)</f>
        <v>0</v>
      </c>
      <c r="AF131" s="24">
        <f>ROUND(IF(AQ131="2",BH131,0),2)</f>
        <v>0</v>
      </c>
      <c r="AG131" s="24">
        <f>ROUND(IF(AQ131="2",BI131,0),2)</f>
        <v>0</v>
      </c>
      <c r="AH131" s="24">
        <f>ROUND(IF(AQ131="0",BJ131,0),2)</f>
        <v>0</v>
      </c>
      <c r="AI131" s="10" t="s">
        <v>43</v>
      </c>
      <c r="AJ131" s="24">
        <f>IF(AN131=0,J131,0)</f>
        <v>0</v>
      </c>
      <c r="AK131" s="24">
        <f>IF(AN131=12,J131,0)</f>
        <v>0</v>
      </c>
      <c r="AL131" s="24">
        <f>IF(AN131=21,J131,0)</f>
        <v>0</v>
      </c>
      <c r="AN131" s="24">
        <v>21</v>
      </c>
      <c r="AO131" s="24">
        <f>G131*0.445905764</f>
        <v>0</v>
      </c>
      <c r="AP131" s="24">
        <f>G131*(1-0.445905764)</f>
        <v>0</v>
      </c>
      <c r="AQ131" s="26" t="s">
        <v>73</v>
      </c>
      <c r="AV131" s="24">
        <f>ROUND(AW131+AX131,2)</f>
        <v>0</v>
      </c>
      <c r="AW131" s="24">
        <f>ROUND(F131*AO131,2)</f>
        <v>0</v>
      </c>
      <c r="AX131" s="24">
        <f>ROUND(F131*AP131,2)</f>
        <v>0</v>
      </c>
      <c r="AY131" s="26" t="s">
        <v>404</v>
      </c>
      <c r="AZ131" s="26" t="s">
        <v>405</v>
      </c>
      <c r="BA131" s="10" t="s">
        <v>52</v>
      </c>
      <c r="BC131" s="24">
        <f>AW131+AX131</f>
        <v>0</v>
      </c>
      <c r="BD131" s="24">
        <f>G131/(100-BE131)*100</f>
        <v>0</v>
      </c>
      <c r="BE131" s="24">
        <v>0</v>
      </c>
      <c r="BF131" s="24">
        <f>128</f>
        <v>128</v>
      </c>
      <c r="BH131" s="24">
        <f>F131*AO131</f>
        <v>0</v>
      </c>
      <c r="BI131" s="24">
        <f>F131*AP131</f>
        <v>0</v>
      </c>
      <c r="BJ131" s="24">
        <f>F131*G131</f>
        <v>0</v>
      </c>
      <c r="BK131" s="26" t="s">
        <v>53</v>
      </c>
      <c r="BL131" s="24">
        <v>783</v>
      </c>
      <c r="BW131" s="24">
        <v>21</v>
      </c>
      <c r="BX131" s="4" t="s">
        <v>403</v>
      </c>
    </row>
    <row r="132" spans="1:76" ht="26.4" x14ac:dyDescent="0.3">
      <c r="A132" s="2" t="s">
        <v>406</v>
      </c>
      <c r="B132" s="3" t="s">
        <v>407</v>
      </c>
      <c r="C132" s="82" t="s">
        <v>408</v>
      </c>
      <c r="D132" s="81"/>
      <c r="E132" s="3" t="s">
        <v>91</v>
      </c>
      <c r="F132" s="24">
        <v>30</v>
      </c>
      <c r="G132" s="180">
        <v>0</v>
      </c>
      <c r="H132" s="24">
        <f>ROUND(F132*AO132,2)</f>
        <v>0</v>
      </c>
      <c r="I132" s="24">
        <f>ROUND(F132*AP132,2)</f>
        <v>0</v>
      </c>
      <c r="J132" s="24">
        <f>ROUND(F132*G132,2)</f>
        <v>0</v>
      </c>
      <c r="K132" s="25"/>
      <c r="Z132" s="24">
        <f>ROUND(IF(AQ132="5",BJ132,0),2)</f>
        <v>0</v>
      </c>
      <c r="AB132" s="24">
        <f>ROUND(IF(AQ132="1",BH132,0),2)</f>
        <v>0</v>
      </c>
      <c r="AC132" s="24">
        <f>ROUND(IF(AQ132="1",BI132,0),2)</f>
        <v>0</v>
      </c>
      <c r="AD132" s="24">
        <f>ROUND(IF(AQ132="7",BH132,0),2)</f>
        <v>0</v>
      </c>
      <c r="AE132" s="24">
        <f>ROUND(IF(AQ132="7",BI132,0),2)</f>
        <v>0</v>
      </c>
      <c r="AF132" s="24">
        <f>ROUND(IF(AQ132="2",BH132,0),2)</f>
        <v>0</v>
      </c>
      <c r="AG132" s="24">
        <f>ROUND(IF(AQ132="2",BI132,0),2)</f>
        <v>0</v>
      </c>
      <c r="AH132" s="24">
        <f>ROUND(IF(AQ132="0",BJ132,0),2)</f>
        <v>0</v>
      </c>
      <c r="AI132" s="10" t="s">
        <v>43</v>
      </c>
      <c r="AJ132" s="24">
        <f>IF(AN132=0,J132,0)</f>
        <v>0</v>
      </c>
      <c r="AK132" s="24">
        <f>IF(AN132=12,J132,0)</f>
        <v>0</v>
      </c>
      <c r="AL132" s="24">
        <f>IF(AN132=21,J132,0)</f>
        <v>0</v>
      </c>
      <c r="AN132" s="24">
        <v>21</v>
      </c>
      <c r="AO132" s="24">
        <f>G132*0</f>
        <v>0</v>
      </c>
      <c r="AP132" s="24">
        <f>G132*(1-0)</f>
        <v>0</v>
      </c>
      <c r="AQ132" s="26" t="s">
        <v>73</v>
      </c>
      <c r="AV132" s="24">
        <f>ROUND(AW132+AX132,2)</f>
        <v>0</v>
      </c>
      <c r="AW132" s="24">
        <f>ROUND(F132*AO132,2)</f>
        <v>0</v>
      </c>
      <c r="AX132" s="24">
        <f>ROUND(F132*AP132,2)</f>
        <v>0</v>
      </c>
      <c r="AY132" s="26" t="s">
        <v>404</v>
      </c>
      <c r="AZ132" s="26" t="s">
        <v>405</v>
      </c>
      <c r="BA132" s="10" t="s">
        <v>52</v>
      </c>
      <c r="BC132" s="24">
        <f>AW132+AX132</f>
        <v>0</v>
      </c>
      <c r="BD132" s="24">
        <f>G132/(100-BE132)*100</f>
        <v>0</v>
      </c>
      <c r="BE132" s="24">
        <v>0</v>
      </c>
      <c r="BF132" s="24">
        <f>129</f>
        <v>129</v>
      </c>
      <c r="BH132" s="24">
        <f>F132*AO132</f>
        <v>0</v>
      </c>
      <c r="BI132" s="24">
        <f>F132*AP132</f>
        <v>0</v>
      </c>
      <c r="BJ132" s="24">
        <f>F132*G132</f>
        <v>0</v>
      </c>
      <c r="BK132" s="26" t="s">
        <v>53</v>
      </c>
      <c r="BL132" s="24">
        <v>783</v>
      </c>
      <c r="BW132" s="24">
        <v>21</v>
      </c>
      <c r="BX132" s="4" t="s">
        <v>408</v>
      </c>
    </row>
    <row r="133" spans="1:76" ht="14.4" x14ac:dyDescent="0.3">
      <c r="A133" s="27" t="s">
        <v>43</v>
      </c>
      <c r="B133" s="28" t="s">
        <v>409</v>
      </c>
      <c r="C133" s="98" t="s">
        <v>410</v>
      </c>
      <c r="D133" s="99"/>
      <c r="E133" s="29" t="s">
        <v>3</v>
      </c>
      <c r="F133" s="29" t="s">
        <v>3</v>
      </c>
      <c r="G133" s="29" t="s">
        <v>3</v>
      </c>
      <c r="H133" s="1">
        <f>ROUND(SUM(H134:H136),2)</f>
        <v>0</v>
      </c>
      <c r="I133" s="1">
        <f>ROUND(SUM(I134:I136),2)</f>
        <v>0</v>
      </c>
      <c r="J133" s="1">
        <f>ROUND(SUM(J134:J136),2)</f>
        <v>0</v>
      </c>
      <c r="K133" s="30"/>
      <c r="AI133" s="10" t="s">
        <v>43</v>
      </c>
      <c r="AS133" s="1">
        <f>SUM(AJ134:AJ136)</f>
        <v>0</v>
      </c>
      <c r="AT133" s="1">
        <f>SUM(AK134:AK136)</f>
        <v>0</v>
      </c>
      <c r="AU133" s="1">
        <f>SUM(AL134:AL136)</f>
        <v>0</v>
      </c>
    </row>
    <row r="134" spans="1:76" ht="14.4" x14ac:dyDescent="0.3">
      <c r="A134" s="2" t="s">
        <v>411</v>
      </c>
      <c r="B134" s="3" t="s">
        <v>412</v>
      </c>
      <c r="C134" s="82" t="s">
        <v>413</v>
      </c>
      <c r="D134" s="81"/>
      <c r="E134" s="3" t="s">
        <v>49</v>
      </c>
      <c r="F134" s="24">
        <v>371.04</v>
      </c>
      <c r="G134" s="180">
        <v>0</v>
      </c>
      <c r="H134" s="24">
        <f>ROUND(F134*AO134,2)</f>
        <v>0</v>
      </c>
      <c r="I134" s="24">
        <f>ROUND(F134*AP134,2)</f>
        <v>0</v>
      </c>
      <c r="J134" s="24">
        <f>ROUND(F134*G134,2)</f>
        <v>0</v>
      </c>
      <c r="K134" s="25"/>
      <c r="Z134" s="24">
        <f>ROUND(IF(AQ134="5",BJ134,0),2)</f>
        <v>0</v>
      </c>
      <c r="AB134" s="24">
        <f>ROUND(IF(AQ134="1",BH134,0),2)</f>
        <v>0</v>
      </c>
      <c r="AC134" s="24">
        <f>ROUND(IF(AQ134="1",BI134,0),2)</f>
        <v>0</v>
      </c>
      <c r="AD134" s="24">
        <f>ROUND(IF(AQ134="7",BH134,0),2)</f>
        <v>0</v>
      </c>
      <c r="AE134" s="24">
        <f>ROUND(IF(AQ134="7",BI134,0),2)</f>
        <v>0</v>
      </c>
      <c r="AF134" s="24">
        <f>ROUND(IF(AQ134="2",BH134,0),2)</f>
        <v>0</v>
      </c>
      <c r="AG134" s="24">
        <f>ROUND(IF(AQ134="2",BI134,0),2)</f>
        <v>0</v>
      </c>
      <c r="AH134" s="24">
        <f>ROUND(IF(AQ134="0",BJ134,0),2)</f>
        <v>0</v>
      </c>
      <c r="AI134" s="10" t="s">
        <v>43</v>
      </c>
      <c r="AJ134" s="24">
        <f>IF(AN134=0,J134,0)</f>
        <v>0</v>
      </c>
      <c r="AK134" s="24">
        <f>IF(AN134=12,J134,0)</f>
        <v>0</v>
      </c>
      <c r="AL134" s="24">
        <f>IF(AN134=21,J134,0)</f>
        <v>0</v>
      </c>
      <c r="AN134" s="24">
        <v>21</v>
      </c>
      <c r="AO134" s="24">
        <f>G134*0.389238729</f>
        <v>0</v>
      </c>
      <c r="AP134" s="24">
        <f>G134*(1-0.389238729)</f>
        <v>0</v>
      </c>
      <c r="AQ134" s="26" t="s">
        <v>73</v>
      </c>
      <c r="AV134" s="24">
        <f>ROUND(AW134+AX134,2)</f>
        <v>0</v>
      </c>
      <c r="AW134" s="24">
        <f>ROUND(F134*AO134,2)</f>
        <v>0</v>
      </c>
      <c r="AX134" s="24">
        <f>ROUND(F134*AP134,2)</f>
        <v>0</v>
      </c>
      <c r="AY134" s="26" t="s">
        <v>414</v>
      </c>
      <c r="AZ134" s="26" t="s">
        <v>405</v>
      </c>
      <c r="BA134" s="10" t="s">
        <v>52</v>
      </c>
      <c r="BC134" s="24">
        <f>AW134+AX134</f>
        <v>0</v>
      </c>
      <c r="BD134" s="24">
        <f>G134/(100-BE134)*100</f>
        <v>0</v>
      </c>
      <c r="BE134" s="24">
        <v>0</v>
      </c>
      <c r="BF134" s="24">
        <f>131</f>
        <v>131</v>
      </c>
      <c r="BH134" s="24">
        <f>F134*AO134</f>
        <v>0</v>
      </c>
      <c r="BI134" s="24">
        <f>F134*AP134</f>
        <v>0</v>
      </c>
      <c r="BJ134" s="24">
        <f>F134*G134</f>
        <v>0</v>
      </c>
      <c r="BK134" s="26" t="s">
        <v>53</v>
      </c>
      <c r="BL134" s="24">
        <v>784</v>
      </c>
      <c r="BW134" s="24">
        <v>21</v>
      </c>
      <c r="BX134" s="4" t="s">
        <v>413</v>
      </c>
    </row>
    <row r="135" spans="1:76" ht="14.4" x14ac:dyDescent="0.3">
      <c r="A135" s="2" t="s">
        <v>415</v>
      </c>
      <c r="B135" s="3" t="s">
        <v>416</v>
      </c>
      <c r="C135" s="82" t="s">
        <v>417</v>
      </c>
      <c r="D135" s="81"/>
      <c r="E135" s="3" t="s">
        <v>49</v>
      </c>
      <c r="F135" s="24">
        <v>371.04</v>
      </c>
      <c r="G135" s="180">
        <v>0</v>
      </c>
      <c r="H135" s="24">
        <f>ROUND(F135*AO135,2)</f>
        <v>0</v>
      </c>
      <c r="I135" s="24">
        <f>ROUND(F135*AP135,2)</f>
        <v>0</v>
      </c>
      <c r="J135" s="24">
        <f>ROUND(F135*G135,2)</f>
        <v>0</v>
      </c>
      <c r="K135" s="25"/>
      <c r="Z135" s="24">
        <f>ROUND(IF(AQ135="5",BJ135,0),2)</f>
        <v>0</v>
      </c>
      <c r="AB135" s="24">
        <f>ROUND(IF(AQ135="1",BH135,0),2)</f>
        <v>0</v>
      </c>
      <c r="AC135" s="24">
        <f>ROUND(IF(AQ135="1",BI135,0),2)</f>
        <v>0</v>
      </c>
      <c r="AD135" s="24">
        <f>ROUND(IF(AQ135="7",BH135,0),2)</f>
        <v>0</v>
      </c>
      <c r="AE135" s="24">
        <f>ROUND(IF(AQ135="7",BI135,0),2)</f>
        <v>0</v>
      </c>
      <c r="AF135" s="24">
        <f>ROUND(IF(AQ135="2",BH135,0),2)</f>
        <v>0</v>
      </c>
      <c r="AG135" s="24">
        <f>ROUND(IF(AQ135="2",BI135,0),2)</f>
        <v>0</v>
      </c>
      <c r="AH135" s="24">
        <f>ROUND(IF(AQ135="0",BJ135,0),2)</f>
        <v>0</v>
      </c>
      <c r="AI135" s="10" t="s">
        <v>43</v>
      </c>
      <c r="AJ135" s="24">
        <f>IF(AN135=0,J135,0)</f>
        <v>0</v>
      </c>
      <c r="AK135" s="24">
        <f>IF(AN135=12,J135,0)</f>
        <v>0</v>
      </c>
      <c r="AL135" s="24">
        <f>IF(AN135=21,J135,0)</f>
        <v>0</v>
      </c>
      <c r="AN135" s="24">
        <v>21</v>
      </c>
      <c r="AO135" s="24">
        <f>G135*0.100115124</f>
        <v>0</v>
      </c>
      <c r="AP135" s="24">
        <f>G135*(1-0.100115124)</f>
        <v>0</v>
      </c>
      <c r="AQ135" s="26" t="s">
        <v>73</v>
      </c>
      <c r="AV135" s="24">
        <f>ROUND(AW135+AX135,2)</f>
        <v>0</v>
      </c>
      <c r="AW135" s="24">
        <f>ROUND(F135*AO135,2)</f>
        <v>0</v>
      </c>
      <c r="AX135" s="24">
        <f>ROUND(F135*AP135,2)</f>
        <v>0</v>
      </c>
      <c r="AY135" s="26" t="s">
        <v>414</v>
      </c>
      <c r="AZ135" s="26" t="s">
        <v>405</v>
      </c>
      <c r="BA135" s="10" t="s">
        <v>52</v>
      </c>
      <c r="BC135" s="24">
        <f>AW135+AX135</f>
        <v>0</v>
      </c>
      <c r="BD135" s="24">
        <f>G135/(100-BE135)*100</f>
        <v>0</v>
      </c>
      <c r="BE135" s="24">
        <v>0</v>
      </c>
      <c r="BF135" s="24">
        <f>132</f>
        <v>132</v>
      </c>
      <c r="BH135" s="24">
        <f>F135*AO135</f>
        <v>0</v>
      </c>
      <c r="BI135" s="24">
        <f>F135*AP135</f>
        <v>0</v>
      </c>
      <c r="BJ135" s="24">
        <f>F135*G135</f>
        <v>0</v>
      </c>
      <c r="BK135" s="26" t="s">
        <v>53</v>
      </c>
      <c r="BL135" s="24">
        <v>784</v>
      </c>
      <c r="BW135" s="24">
        <v>21</v>
      </c>
      <c r="BX135" s="4" t="s">
        <v>417</v>
      </c>
    </row>
    <row r="136" spans="1:76" ht="14.4" x14ac:dyDescent="0.3">
      <c r="A136" s="2" t="s">
        <v>418</v>
      </c>
      <c r="B136" s="3" t="s">
        <v>419</v>
      </c>
      <c r="C136" s="82" t="s">
        <v>420</v>
      </c>
      <c r="D136" s="81"/>
      <c r="E136" s="3" t="s">
        <v>193</v>
      </c>
      <c r="F136" s="24">
        <v>1</v>
      </c>
      <c r="G136" s="180">
        <v>0</v>
      </c>
      <c r="H136" s="24">
        <f>ROUND(F136*AO136,2)</f>
        <v>0</v>
      </c>
      <c r="I136" s="24">
        <f>ROUND(F136*AP136,2)</f>
        <v>0</v>
      </c>
      <c r="J136" s="24">
        <f>ROUND(F136*G136,2)</f>
        <v>0</v>
      </c>
      <c r="K136" s="25"/>
      <c r="Z136" s="24">
        <f>ROUND(IF(AQ136="5",BJ136,0),2)</f>
        <v>0</v>
      </c>
      <c r="AB136" s="24">
        <f>ROUND(IF(AQ136="1",BH136,0),2)</f>
        <v>0</v>
      </c>
      <c r="AC136" s="24">
        <f>ROUND(IF(AQ136="1",BI136,0),2)</f>
        <v>0</v>
      </c>
      <c r="AD136" s="24">
        <f>ROUND(IF(AQ136="7",BH136,0),2)</f>
        <v>0</v>
      </c>
      <c r="AE136" s="24">
        <f>ROUND(IF(AQ136="7",BI136,0),2)</f>
        <v>0</v>
      </c>
      <c r="AF136" s="24">
        <f>ROUND(IF(AQ136="2",BH136,0),2)</f>
        <v>0</v>
      </c>
      <c r="AG136" s="24">
        <f>ROUND(IF(AQ136="2",BI136,0),2)</f>
        <v>0</v>
      </c>
      <c r="AH136" s="24">
        <f>ROUND(IF(AQ136="0",BJ136,0),2)</f>
        <v>0</v>
      </c>
      <c r="AI136" s="10" t="s">
        <v>43</v>
      </c>
      <c r="AJ136" s="24">
        <f>IF(AN136=0,J136,0)</f>
        <v>0</v>
      </c>
      <c r="AK136" s="24">
        <f>IF(AN136=12,J136,0)</f>
        <v>0</v>
      </c>
      <c r="AL136" s="24">
        <f>IF(AN136=21,J136,0)</f>
        <v>0</v>
      </c>
      <c r="AN136" s="24">
        <v>21</v>
      </c>
      <c r="AO136" s="24">
        <f>G136*0.3594575</f>
        <v>0</v>
      </c>
      <c r="AP136" s="24">
        <f>G136*(1-0.3594575)</f>
        <v>0</v>
      </c>
      <c r="AQ136" s="26" t="s">
        <v>73</v>
      </c>
      <c r="AV136" s="24">
        <f>ROUND(AW136+AX136,2)</f>
        <v>0</v>
      </c>
      <c r="AW136" s="24">
        <f>ROUND(F136*AO136,2)</f>
        <v>0</v>
      </c>
      <c r="AX136" s="24">
        <f>ROUND(F136*AP136,2)</f>
        <v>0</v>
      </c>
      <c r="AY136" s="26" t="s">
        <v>414</v>
      </c>
      <c r="AZ136" s="26" t="s">
        <v>405</v>
      </c>
      <c r="BA136" s="10" t="s">
        <v>52</v>
      </c>
      <c r="BC136" s="24">
        <f>AW136+AX136</f>
        <v>0</v>
      </c>
      <c r="BD136" s="24">
        <f>G136/(100-BE136)*100</f>
        <v>0</v>
      </c>
      <c r="BE136" s="24">
        <v>0</v>
      </c>
      <c r="BF136" s="24">
        <f>133</f>
        <v>133</v>
      </c>
      <c r="BH136" s="24">
        <f>F136*AO136</f>
        <v>0</v>
      </c>
      <c r="BI136" s="24">
        <f>F136*AP136</f>
        <v>0</v>
      </c>
      <c r="BJ136" s="24">
        <f>F136*G136</f>
        <v>0</v>
      </c>
      <c r="BK136" s="26" t="s">
        <v>53</v>
      </c>
      <c r="BL136" s="24">
        <v>784</v>
      </c>
      <c r="BW136" s="24">
        <v>21</v>
      </c>
      <c r="BX136" s="4" t="s">
        <v>420</v>
      </c>
    </row>
    <row r="137" spans="1:76" ht="14.4" x14ac:dyDescent="0.3">
      <c r="A137" s="27" t="s">
        <v>43</v>
      </c>
      <c r="B137" s="28" t="s">
        <v>358</v>
      </c>
      <c r="C137" s="98" t="s">
        <v>421</v>
      </c>
      <c r="D137" s="99"/>
      <c r="E137" s="29" t="s">
        <v>3</v>
      </c>
      <c r="F137" s="29" t="s">
        <v>3</v>
      </c>
      <c r="G137" s="29" t="s">
        <v>3</v>
      </c>
      <c r="H137" s="1">
        <f>ROUND(SUM(H138:H138),2)</f>
        <v>0</v>
      </c>
      <c r="I137" s="1">
        <f>ROUND(SUM(I138:I138),2)</f>
        <v>0</v>
      </c>
      <c r="J137" s="1">
        <f>ROUND(SUM(J138:J138),2)</f>
        <v>0</v>
      </c>
      <c r="K137" s="30"/>
      <c r="AI137" s="10" t="s">
        <v>43</v>
      </c>
      <c r="AS137" s="1">
        <f>SUM(AJ138:AJ138)</f>
        <v>0</v>
      </c>
      <c r="AT137" s="1">
        <f>SUM(AK138:AK138)</f>
        <v>0</v>
      </c>
      <c r="AU137" s="1">
        <f>SUM(AL138:AL138)</f>
        <v>0</v>
      </c>
    </row>
    <row r="138" spans="1:76" ht="14.4" x14ac:dyDescent="0.3">
      <c r="A138" s="2" t="s">
        <v>422</v>
      </c>
      <c r="B138" s="3" t="s">
        <v>423</v>
      </c>
      <c r="C138" s="82" t="s">
        <v>424</v>
      </c>
      <c r="D138" s="81"/>
      <c r="E138" s="3" t="s">
        <v>425</v>
      </c>
      <c r="F138" s="24">
        <v>56</v>
      </c>
      <c r="G138" s="180">
        <v>0</v>
      </c>
      <c r="H138" s="24">
        <f>ROUND(F138*AO138,2)</f>
        <v>0</v>
      </c>
      <c r="I138" s="24">
        <f>ROUND(F138*AP138,2)</f>
        <v>0</v>
      </c>
      <c r="J138" s="24">
        <f>ROUND(F138*G138,2)</f>
        <v>0</v>
      </c>
      <c r="K138" s="25"/>
      <c r="Z138" s="24">
        <f>ROUND(IF(AQ138="5",BJ138,0),2)</f>
        <v>0</v>
      </c>
      <c r="AB138" s="24">
        <f>ROUND(IF(AQ138="1",BH138,0),2)</f>
        <v>0</v>
      </c>
      <c r="AC138" s="24">
        <f>ROUND(IF(AQ138="1",BI138,0),2)</f>
        <v>0</v>
      </c>
      <c r="AD138" s="24">
        <f>ROUND(IF(AQ138="7",BH138,0),2)</f>
        <v>0</v>
      </c>
      <c r="AE138" s="24">
        <f>ROUND(IF(AQ138="7",BI138,0),2)</f>
        <v>0</v>
      </c>
      <c r="AF138" s="24">
        <f>ROUND(IF(AQ138="2",BH138,0),2)</f>
        <v>0</v>
      </c>
      <c r="AG138" s="24">
        <f>ROUND(IF(AQ138="2",BI138,0),2)</f>
        <v>0</v>
      </c>
      <c r="AH138" s="24">
        <f>ROUND(IF(AQ138="0",BJ138,0),2)</f>
        <v>0</v>
      </c>
      <c r="AI138" s="10" t="s">
        <v>43</v>
      </c>
      <c r="AJ138" s="24">
        <f>IF(AN138=0,J138,0)</f>
        <v>0</v>
      </c>
      <c r="AK138" s="24">
        <f>IF(AN138=12,J138,0)</f>
        <v>0</v>
      </c>
      <c r="AL138" s="24">
        <f>IF(AN138=21,J138,0)</f>
        <v>0</v>
      </c>
      <c r="AN138" s="24">
        <v>21</v>
      </c>
      <c r="AO138" s="24">
        <f>G138*0</f>
        <v>0</v>
      </c>
      <c r="AP138" s="24">
        <f>G138*(1-0)</f>
        <v>0</v>
      </c>
      <c r="AQ138" s="26" t="s">
        <v>46</v>
      </c>
      <c r="AV138" s="24">
        <f>ROUND(AW138+AX138,2)</f>
        <v>0</v>
      </c>
      <c r="AW138" s="24">
        <f>ROUND(F138*AO138,2)</f>
        <v>0</v>
      </c>
      <c r="AX138" s="24">
        <f>ROUND(F138*AP138,2)</f>
        <v>0</v>
      </c>
      <c r="AY138" s="26" t="s">
        <v>426</v>
      </c>
      <c r="AZ138" s="26" t="s">
        <v>427</v>
      </c>
      <c r="BA138" s="10" t="s">
        <v>52</v>
      </c>
      <c r="BC138" s="24">
        <f>AW138+AX138</f>
        <v>0</v>
      </c>
      <c r="BD138" s="24">
        <f>G138/(100-BE138)*100</f>
        <v>0</v>
      </c>
      <c r="BE138" s="24">
        <v>0</v>
      </c>
      <c r="BF138" s="24">
        <f>135</f>
        <v>135</v>
      </c>
      <c r="BH138" s="24">
        <f>F138*AO138</f>
        <v>0</v>
      </c>
      <c r="BI138" s="24">
        <f>F138*AP138</f>
        <v>0</v>
      </c>
      <c r="BJ138" s="24">
        <f>F138*G138</f>
        <v>0</v>
      </c>
      <c r="BK138" s="26" t="s">
        <v>53</v>
      </c>
      <c r="BL138" s="24">
        <v>90</v>
      </c>
      <c r="BW138" s="24">
        <v>21</v>
      </c>
      <c r="BX138" s="4" t="s">
        <v>424</v>
      </c>
    </row>
    <row r="139" spans="1:76" ht="14.4" x14ac:dyDescent="0.3">
      <c r="A139" s="27" t="s">
        <v>43</v>
      </c>
      <c r="B139" s="28" t="s">
        <v>370</v>
      </c>
      <c r="C139" s="98" t="s">
        <v>428</v>
      </c>
      <c r="D139" s="99"/>
      <c r="E139" s="29" t="s">
        <v>3</v>
      </c>
      <c r="F139" s="29" t="s">
        <v>3</v>
      </c>
      <c r="G139" s="29" t="s">
        <v>3</v>
      </c>
      <c r="H139" s="1">
        <f>ROUND(SUM(H140:H145),2)</f>
        <v>0</v>
      </c>
      <c r="I139" s="1">
        <f>ROUND(SUM(I140:I145),2)</f>
        <v>0</v>
      </c>
      <c r="J139" s="1">
        <f>ROUND(SUM(J140:J145),2)</f>
        <v>0</v>
      </c>
      <c r="K139" s="30"/>
      <c r="AI139" s="10" t="s">
        <v>43</v>
      </c>
      <c r="AS139" s="1">
        <f>SUM(AJ140:AJ145)</f>
        <v>0</v>
      </c>
      <c r="AT139" s="1">
        <f>SUM(AK140:AK145)</f>
        <v>0</v>
      </c>
      <c r="AU139" s="1">
        <f>SUM(AL140:AL145)</f>
        <v>0</v>
      </c>
    </row>
    <row r="140" spans="1:76" ht="14.4" x14ac:dyDescent="0.3">
      <c r="A140" s="2" t="s">
        <v>429</v>
      </c>
      <c r="B140" s="3" t="s">
        <v>430</v>
      </c>
      <c r="C140" s="82" t="s">
        <v>431</v>
      </c>
      <c r="D140" s="81"/>
      <c r="E140" s="3" t="s">
        <v>49</v>
      </c>
      <c r="F140" s="24">
        <v>176</v>
      </c>
      <c r="G140" s="180">
        <v>0</v>
      </c>
      <c r="H140" s="24">
        <f t="shared" ref="H140:H145" si="182">ROUND(F140*AO140,2)</f>
        <v>0</v>
      </c>
      <c r="I140" s="24">
        <f t="shared" ref="I140:I145" si="183">ROUND(F140*AP140,2)</f>
        <v>0</v>
      </c>
      <c r="J140" s="24">
        <f t="shared" ref="J140:J145" si="184">ROUND(F140*G140,2)</f>
        <v>0</v>
      </c>
      <c r="K140" s="25"/>
      <c r="Z140" s="24">
        <f t="shared" ref="Z140:Z145" si="185">ROUND(IF(AQ140="5",BJ140,0),2)</f>
        <v>0</v>
      </c>
      <c r="AB140" s="24">
        <f t="shared" ref="AB140:AB145" si="186">ROUND(IF(AQ140="1",BH140,0),2)</f>
        <v>0</v>
      </c>
      <c r="AC140" s="24">
        <f t="shared" ref="AC140:AC145" si="187">ROUND(IF(AQ140="1",BI140,0),2)</f>
        <v>0</v>
      </c>
      <c r="AD140" s="24">
        <f t="shared" ref="AD140:AD145" si="188">ROUND(IF(AQ140="7",BH140,0),2)</f>
        <v>0</v>
      </c>
      <c r="AE140" s="24">
        <f t="shared" ref="AE140:AE145" si="189">ROUND(IF(AQ140="7",BI140,0),2)</f>
        <v>0</v>
      </c>
      <c r="AF140" s="24">
        <f t="shared" ref="AF140:AF145" si="190">ROUND(IF(AQ140="2",BH140,0),2)</f>
        <v>0</v>
      </c>
      <c r="AG140" s="24">
        <f t="shared" ref="AG140:AG145" si="191">ROUND(IF(AQ140="2",BI140,0),2)</f>
        <v>0</v>
      </c>
      <c r="AH140" s="24">
        <f t="shared" ref="AH140:AH145" si="192">ROUND(IF(AQ140="0",BJ140,0),2)</f>
        <v>0</v>
      </c>
      <c r="AI140" s="10" t="s">
        <v>43</v>
      </c>
      <c r="AJ140" s="24">
        <f t="shared" ref="AJ140:AJ145" si="193">IF(AN140=0,J140,0)</f>
        <v>0</v>
      </c>
      <c r="AK140" s="24">
        <f t="shared" ref="AK140:AK145" si="194">IF(AN140=12,J140,0)</f>
        <v>0</v>
      </c>
      <c r="AL140" s="24">
        <f t="shared" ref="AL140:AL145" si="195">IF(AN140=21,J140,0)</f>
        <v>0</v>
      </c>
      <c r="AN140" s="24">
        <v>21</v>
      </c>
      <c r="AO140" s="24">
        <f>G140*0.000381728</f>
        <v>0</v>
      </c>
      <c r="AP140" s="24">
        <f>G140*(1-0.000381728)</f>
        <v>0</v>
      </c>
      <c r="AQ140" s="26" t="s">
        <v>46</v>
      </c>
      <c r="AV140" s="24">
        <f t="shared" ref="AV140:AV145" si="196">ROUND(AW140+AX140,2)</f>
        <v>0</v>
      </c>
      <c r="AW140" s="24">
        <f t="shared" ref="AW140:AW145" si="197">ROUND(F140*AO140,2)</f>
        <v>0</v>
      </c>
      <c r="AX140" s="24">
        <f t="shared" ref="AX140:AX145" si="198">ROUND(F140*AP140,2)</f>
        <v>0</v>
      </c>
      <c r="AY140" s="26" t="s">
        <v>432</v>
      </c>
      <c r="AZ140" s="26" t="s">
        <v>427</v>
      </c>
      <c r="BA140" s="10" t="s">
        <v>52</v>
      </c>
      <c r="BC140" s="24">
        <f t="shared" ref="BC140:BC145" si="199">AW140+AX140</f>
        <v>0</v>
      </c>
      <c r="BD140" s="24">
        <f t="shared" ref="BD140:BD145" si="200">G140/(100-BE140)*100</f>
        <v>0</v>
      </c>
      <c r="BE140" s="24">
        <v>0</v>
      </c>
      <c r="BF140" s="24">
        <f>137</f>
        <v>137</v>
      </c>
      <c r="BH140" s="24">
        <f t="shared" ref="BH140:BH145" si="201">F140*AO140</f>
        <v>0</v>
      </c>
      <c r="BI140" s="24">
        <f t="shared" ref="BI140:BI145" si="202">F140*AP140</f>
        <v>0</v>
      </c>
      <c r="BJ140" s="24">
        <f t="shared" ref="BJ140:BJ145" si="203">F140*G140</f>
        <v>0</v>
      </c>
      <c r="BK140" s="26" t="s">
        <v>53</v>
      </c>
      <c r="BL140" s="24">
        <v>94</v>
      </c>
      <c r="BW140" s="24">
        <v>21</v>
      </c>
      <c r="BX140" s="4" t="s">
        <v>431</v>
      </c>
    </row>
    <row r="141" spans="1:76" ht="14.4" x14ac:dyDescent="0.3">
      <c r="A141" s="2" t="s">
        <v>433</v>
      </c>
      <c r="B141" s="3" t="s">
        <v>434</v>
      </c>
      <c r="C141" s="82" t="s">
        <v>435</v>
      </c>
      <c r="D141" s="81"/>
      <c r="E141" s="3" t="s">
        <v>49</v>
      </c>
      <c r="F141" s="24">
        <v>8800</v>
      </c>
      <c r="G141" s="180">
        <v>0</v>
      </c>
      <c r="H141" s="24">
        <f t="shared" si="182"/>
        <v>0</v>
      </c>
      <c r="I141" s="24">
        <f t="shared" si="183"/>
        <v>0</v>
      </c>
      <c r="J141" s="24">
        <f t="shared" si="184"/>
        <v>0</v>
      </c>
      <c r="K141" s="25"/>
      <c r="Z141" s="24">
        <f t="shared" si="185"/>
        <v>0</v>
      </c>
      <c r="AB141" s="24">
        <f t="shared" si="186"/>
        <v>0</v>
      </c>
      <c r="AC141" s="24">
        <f t="shared" si="187"/>
        <v>0</v>
      </c>
      <c r="AD141" s="24">
        <f t="shared" si="188"/>
        <v>0</v>
      </c>
      <c r="AE141" s="24">
        <f t="shared" si="189"/>
        <v>0</v>
      </c>
      <c r="AF141" s="24">
        <f t="shared" si="190"/>
        <v>0</v>
      </c>
      <c r="AG141" s="24">
        <f t="shared" si="191"/>
        <v>0</v>
      </c>
      <c r="AH141" s="24">
        <f t="shared" si="192"/>
        <v>0</v>
      </c>
      <c r="AI141" s="10" t="s">
        <v>43</v>
      </c>
      <c r="AJ141" s="24">
        <f t="shared" si="193"/>
        <v>0</v>
      </c>
      <c r="AK141" s="24">
        <f t="shared" si="194"/>
        <v>0</v>
      </c>
      <c r="AL141" s="24">
        <f t="shared" si="195"/>
        <v>0</v>
      </c>
      <c r="AN141" s="24">
        <v>21</v>
      </c>
      <c r="AO141" s="24">
        <f>G141*0</f>
        <v>0</v>
      </c>
      <c r="AP141" s="24">
        <f>G141*(1-0)</f>
        <v>0</v>
      </c>
      <c r="AQ141" s="26" t="s">
        <v>46</v>
      </c>
      <c r="AV141" s="24">
        <f t="shared" si="196"/>
        <v>0</v>
      </c>
      <c r="AW141" s="24">
        <f t="shared" si="197"/>
        <v>0</v>
      </c>
      <c r="AX141" s="24">
        <f t="shared" si="198"/>
        <v>0</v>
      </c>
      <c r="AY141" s="26" t="s">
        <v>432</v>
      </c>
      <c r="AZ141" s="26" t="s">
        <v>427</v>
      </c>
      <c r="BA141" s="10" t="s">
        <v>52</v>
      </c>
      <c r="BC141" s="24">
        <f t="shared" si="199"/>
        <v>0</v>
      </c>
      <c r="BD141" s="24">
        <f t="shared" si="200"/>
        <v>0</v>
      </c>
      <c r="BE141" s="24">
        <v>0</v>
      </c>
      <c r="BF141" s="24">
        <f>138</f>
        <v>138</v>
      </c>
      <c r="BH141" s="24">
        <f t="shared" si="201"/>
        <v>0</v>
      </c>
      <c r="BI141" s="24">
        <f t="shared" si="202"/>
        <v>0</v>
      </c>
      <c r="BJ141" s="24">
        <f t="shared" si="203"/>
        <v>0</v>
      </c>
      <c r="BK141" s="26" t="s">
        <v>53</v>
      </c>
      <c r="BL141" s="24">
        <v>94</v>
      </c>
      <c r="BW141" s="24">
        <v>21</v>
      </c>
      <c r="BX141" s="4" t="s">
        <v>435</v>
      </c>
    </row>
    <row r="142" spans="1:76" ht="14.4" x14ac:dyDescent="0.3">
      <c r="A142" s="2" t="s">
        <v>436</v>
      </c>
      <c r="B142" s="3" t="s">
        <v>437</v>
      </c>
      <c r="C142" s="82" t="s">
        <v>438</v>
      </c>
      <c r="D142" s="81"/>
      <c r="E142" s="3" t="s">
        <v>49</v>
      </c>
      <c r="F142" s="24">
        <v>176</v>
      </c>
      <c r="G142" s="180">
        <v>0</v>
      </c>
      <c r="H142" s="24">
        <f t="shared" si="182"/>
        <v>0</v>
      </c>
      <c r="I142" s="24">
        <f t="shared" si="183"/>
        <v>0</v>
      </c>
      <c r="J142" s="24">
        <f t="shared" si="184"/>
        <v>0</v>
      </c>
      <c r="K142" s="25"/>
      <c r="Z142" s="24">
        <f t="shared" si="185"/>
        <v>0</v>
      </c>
      <c r="AB142" s="24">
        <f t="shared" si="186"/>
        <v>0</v>
      </c>
      <c r="AC142" s="24">
        <f t="shared" si="187"/>
        <v>0</v>
      </c>
      <c r="AD142" s="24">
        <f t="shared" si="188"/>
        <v>0</v>
      </c>
      <c r="AE142" s="24">
        <f t="shared" si="189"/>
        <v>0</v>
      </c>
      <c r="AF142" s="24">
        <f t="shared" si="190"/>
        <v>0</v>
      </c>
      <c r="AG142" s="24">
        <f t="shared" si="191"/>
        <v>0</v>
      </c>
      <c r="AH142" s="24">
        <f t="shared" si="192"/>
        <v>0</v>
      </c>
      <c r="AI142" s="10" t="s">
        <v>43</v>
      </c>
      <c r="AJ142" s="24">
        <f t="shared" si="193"/>
        <v>0</v>
      </c>
      <c r="AK142" s="24">
        <f t="shared" si="194"/>
        <v>0</v>
      </c>
      <c r="AL142" s="24">
        <f t="shared" si="195"/>
        <v>0</v>
      </c>
      <c r="AN142" s="24">
        <v>21</v>
      </c>
      <c r="AO142" s="24">
        <f>G142*0</f>
        <v>0</v>
      </c>
      <c r="AP142" s="24">
        <f>G142*(1-0)</f>
        <v>0</v>
      </c>
      <c r="AQ142" s="26" t="s">
        <v>46</v>
      </c>
      <c r="AV142" s="24">
        <f t="shared" si="196"/>
        <v>0</v>
      </c>
      <c r="AW142" s="24">
        <f t="shared" si="197"/>
        <v>0</v>
      </c>
      <c r="AX142" s="24">
        <f t="shared" si="198"/>
        <v>0</v>
      </c>
      <c r="AY142" s="26" t="s">
        <v>432</v>
      </c>
      <c r="AZ142" s="26" t="s">
        <v>427</v>
      </c>
      <c r="BA142" s="10" t="s">
        <v>52</v>
      </c>
      <c r="BC142" s="24">
        <f t="shared" si="199"/>
        <v>0</v>
      </c>
      <c r="BD142" s="24">
        <f t="shared" si="200"/>
        <v>0</v>
      </c>
      <c r="BE142" s="24">
        <v>0</v>
      </c>
      <c r="BF142" s="24">
        <f>139</f>
        <v>139</v>
      </c>
      <c r="BH142" s="24">
        <f t="shared" si="201"/>
        <v>0</v>
      </c>
      <c r="BI142" s="24">
        <f t="shared" si="202"/>
        <v>0</v>
      </c>
      <c r="BJ142" s="24">
        <f t="shared" si="203"/>
        <v>0</v>
      </c>
      <c r="BK142" s="26" t="s">
        <v>53</v>
      </c>
      <c r="BL142" s="24">
        <v>94</v>
      </c>
      <c r="BW142" s="24">
        <v>21</v>
      </c>
      <c r="BX142" s="4" t="s">
        <v>438</v>
      </c>
    </row>
    <row r="143" spans="1:76" ht="14.4" x14ac:dyDescent="0.3">
      <c r="A143" s="2" t="s">
        <v>439</v>
      </c>
      <c r="B143" s="3" t="s">
        <v>440</v>
      </c>
      <c r="C143" s="82" t="s">
        <v>441</v>
      </c>
      <c r="D143" s="81"/>
      <c r="E143" s="3" t="s">
        <v>442</v>
      </c>
      <c r="F143" s="24">
        <v>50</v>
      </c>
      <c r="G143" s="180">
        <v>0</v>
      </c>
      <c r="H143" s="24">
        <f t="shared" si="182"/>
        <v>0</v>
      </c>
      <c r="I143" s="24">
        <f t="shared" si="183"/>
        <v>0</v>
      </c>
      <c r="J143" s="24">
        <f t="shared" si="184"/>
        <v>0</v>
      </c>
      <c r="K143" s="25"/>
      <c r="Z143" s="24">
        <f t="shared" si="185"/>
        <v>0</v>
      </c>
      <c r="AB143" s="24">
        <f t="shared" si="186"/>
        <v>0</v>
      </c>
      <c r="AC143" s="24">
        <f t="shared" si="187"/>
        <v>0</v>
      </c>
      <c r="AD143" s="24">
        <f t="shared" si="188"/>
        <v>0</v>
      </c>
      <c r="AE143" s="24">
        <f t="shared" si="189"/>
        <v>0</v>
      </c>
      <c r="AF143" s="24">
        <f t="shared" si="190"/>
        <v>0</v>
      </c>
      <c r="AG143" s="24">
        <f t="shared" si="191"/>
        <v>0</v>
      </c>
      <c r="AH143" s="24">
        <f t="shared" si="192"/>
        <v>0</v>
      </c>
      <c r="AI143" s="10" t="s">
        <v>43</v>
      </c>
      <c r="AJ143" s="24">
        <f t="shared" si="193"/>
        <v>0</v>
      </c>
      <c r="AK143" s="24">
        <f t="shared" si="194"/>
        <v>0</v>
      </c>
      <c r="AL143" s="24">
        <f t="shared" si="195"/>
        <v>0</v>
      </c>
      <c r="AN143" s="24">
        <v>21</v>
      </c>
      <c r="AO143" s="24">
        <f>G143*0</f>
        <v>0</v>
      </c>
      <c r="AP143" s="24">
        <f>G143*(1-0)</f>
        <v>0</v>
      </c>
      <c r="AQ143" s="26" t="s">
        <v>46</v>
      </c>
      <c r="AV143" s="24">
        <f t="shared" si="196"/>
        <v>0</v>
      </c>
      <c r="AW143" s="24">
        <f t="shared" si="197"/>
        <v>0</v>
      </c>
      <c r="AX143" s="24">
        <f t="shared" si="198"/>
        <v>0</v>
      </c>
      <c r="AY143" s="26" t="s">
        <v>432</v>
      </c>
      <c r="AZ143" s="26" t="s">
        <v>427</v>
      </c>
      <c r="BA143" s="10" t="s">
        <v>52</v>
      </c>
      <c r="BC143" s="24">
        <f t="shared" si="199"/>
        <v>0</v>
      </c>
      <c r="BD143" s="24">
        <f t="shared" si="200"/>
        <v>0</v>
      </c>
      <c r="BE143" s="24">
        <v>0</v>
      </c>
      <c r="BF143" s="24">
        <f>140</f>
        <v>140</v>
      </c>
      <c r="BH143" s="24">
        <f t="shared" si="201"/>
        <v>0</v>
      </c>
      <c r="BI143" s="24">
        <f t="shared" si="202"/>
        <v>0</v>
      </c>
      <c r="BJ143" s="24">
        <f t="shared" si="203"/>
        <v>0</v>
      </c>
      <c r="BK143" s="26" t="s">
        <v>53</v>
      </c>
      <c r="BL143" s="24">
        <v>94</v>
      </c>
      <c r="BW143" s="24">
        <v>21</v>
      </c>
      <c r="BX143" s="4" t="s">
        <v>441</v>
      </c>
    </row>
    <row r="144" spans="1:76" ht="14.4" x14ac:dyDescent="0.3">
      <c r="A144" s="2" t="s">
        <v>443</v>
      </c>
      <c r="B144" s="3" t="s">
        <v>444</v>
      </c>
      <c r="C144" s="82" t="s">
        <v>445</v>
      </c>
      <c r="D144" s="81"/>
      <c r="E144" s="3" t="s">
        <v>49</v>
      </c>
      <c r="F144" s="24">
        <v>240</v>
      </c>
      <c r="G144" s="180">
        <v>0</v>
      </c>
      <c r="H144" s="24">
        <f t="shared" si="182"/>
        <v>0</v>
      </c>
      <c r="I144" s="24">
        <f t="shared" si="183"/>
        <v>0</v>
      </c>
      <c r="J144" s="24">
        <f t="shared" si="184"/>
        <v>0</v>
      </c>
      <c r="K144" s="25"/>
      <c r="Z144" s="24">
        <f t="shared" si="185"/>
        <v>0</v>
      </c>
      <c r="AB144" s="24">
        <f t="shared" si="186"/>
        <v>0</v>
      </c>
      <c r="AC144" s="24">
        <f t="shared" si="187"/>
        <v>0</v>
      </c>
      <c r="AD144" s="24">
        <f t="shared" si="188"/>
        <v>0</v>
      </c>
      <c r="AE144" s="24">
        <f t="shared" si="189"/>
        <v>0</v>
      </c>
      <c r="AF144" s="24">
        <f t="shared" si="190"/>
        <v>0</v>
      </c>
      <c r="AG144" s="24">
        <f t="shared" si="191"/>
        <v>0</v>
      </c>
      <c r="AH144" s="24">
        <f t="shared" si="192"/>
        <v>0</v>
      </c>
      <c r="AI144" s="10" t="s">
        <v>43</v>
      </c>
      <c r="AJ144" s="24">
        <f t="shared" si="193"/>
        <v>0</v>
      </c>
      <c r="AK144" s="24">
        <f t="shared" si="194"/>
        <v>0</v>
      </c>
      <c r="AL144" s="24">
        <f t="shared" si="195"/>
        <v>0</v>
      </c>
      <c r="AN144" s="24">
        <v>21</v>
      </c>
      <c r="AO144" s="24">
        <f>G144*0.3301</f>
        <v>0</v>
      </c>
      <c r="AP144" s="24">
        <f>G144*(1-0.3301)</f>
        <v>0</v>
      </c>
      <c r="AQ144" s="26" t="s">
        <v>46</v>
      </c>
      <c r="AV144" s="24">
        <f t="shared" si="196"/>
        <v>0</v>
      </c>
      <c r="AW144" s="24">
        <f t="shared" si="197"/>
        <v>0</v>
      </c>
      <c r="AX144" s="24">
        <f t="shared" si="198"/>
        <v>0</v>
      </c>
      <c r="AY144" s="26" t="s">
        <v>432</v>
      </c>
      <c r="AZ144" s="26" t="s">
        <v>427</v>
      </c>
      <c r="BA144" s="10" t="s">
        <v>52</v>
      </c>
      <c r="BC144" s="24">
        <f t="shared" si="199"/>
        <v>0</v>
      </c>
      <c r="BD144" s="24">
        <f t="shared" si="200"/>
        <v>0</v>
      </c>
      <c r="BE144" s="24">
        <v>0</v>
      </c>
      <c r="BF144" s="24">
        <f>141</f>
        <v>141</v>
      </c>
      <c r="BH144" s="24">
        <f t="shared" si="201"/>
        <v>0</v>
      </c>
      <c r="BI144" s="24">
        <f t="shared" si="202"/>
        <v>0</v>
      </c>
      <c r="BJ144" s="24">
        <f t="shared" si="203"/>
        <v>0</v>
      </c>
      <c r="BK144" s="26" t="s">
        <v>53</v>
      </c>
      <c r="BL144" s="24">
        <v>94</v>
      </c>
      <c r="BW144" s="24">
        <v>21</v>
      </c>
      <c r="BX144" s="4" t="s">
        <v>445</v>
      </c>
    </row>
    <row r="145" spans="1:76" ht="14.4" x14ac:dyDescent="0.3">
      <c r="A145" s="2" t="s">
        <v>446</v>
      </c>
      <c r="B145" s="3" t="s">
        <v>447</v>
      </c>
      <c r="C145" s="82" t="s">
        <v>448</v>
      </c>
      <c r="D145" s="81"/>
      <c r="E145" s="3" t="s">
        <v>49</v>
      </c>
      <c r="F145" s="24">
        <v>25</v>
      </c>
      <c r="G145" s="180">
        <v>0</v>
      </c>
      <c r="H145" s="24">
        <f t="shared" si="182"/>
        <v>0</v>
      </c>
      <c r="I145" s="24">
        <f t="shared" si="183"/>
        <v>0</v>
      </c>
      <c r="J145" s="24">
        <f t="shared" si="184"/>
        <v>0</v>
      </c>
      <c r="K145" s="25"/>
      <c r="Z145" s="24">
        <f t="shared" si="185"/>
        <v>0</v>
      </c>
      <c r="AB145" s="24">
        <f t="shared" si="186"/>
        <v>0</v>
      </c>
      <c r="AC145" s="24">
        <f t="shared" si="187"/>
        <v>0</v>
      </c>
      <c r="AD145" s="24">
        <f t="shared" si="188"/>
        <v>0</v>
      </c>
      <c r="AE145" s="24">
        <f t="shared" si="189"/>
        <v>0</v>
      </c>
      <c r="AF145" s="24">
        <f t="shared" si="190"/>
        <v>0</v>
      </c>
      <c r="AG145" s="24">
        <f t="shared" si="191"/>
        <v>0</v>
      </c>
      <c r="AH145" s="24">
        <f t="shared" si="192"/>
        <v>0</v>
      </c>
      <c r="AI145" s="10" t="s">
        <v>43</v>
      </c>
      <c r="AJ145" s="24">
        <f t="shared" si="193"/>
        <v>0</v>
      </c>
      <c r="AK145" s="24">
        <f t="shared" si="194"/>
        <v>0</v>
      </c>
      <c r="AL145" s="24">
        <f t="shared" si="195"/>
        <v>0</v>
      </c>
      <c r="AN145" s="24">
        <v>21</v>
      </c>
      <c r="AO145" s="24">
        <f>G145*0</f>
        <v>0</v>
      </c>
      <c r="AP145" s="24">
        <f>G145*(1-0)</f>
        <v>0</v>
      </c>
      <c r="AQ145" s="26" t="s">
        <v>46</v>
      </c>
      <c r="AV145" s="24">
        <f t="shared" si="196"/>
        <v>0</v>
      </c>
      <c r="AW145" s="24">
        <f t="shared" si="197"/>
        <v>0</v>
      </c>
      <c r="AX145" s="24">
        <f t="shared" si="198"/>
        <v>0</v>
      </c>
      <c r="AY145" s="26" t="s">
        <v>432</v>
      </c>
      <c r="AZ145" s="26" t="s">
        <v>427</v>
      </c>
      <c r="BA145" s="10" t="s">
        <v>52</v>
      </c>
      <c r="BC145" s="24">
        <f t="shared" si="199"/>
        <v>0</v>
      </c>
      <c r="BD145" s="24">
        <f t="shared" si="200"/>
        <v>0</v>
      </c>
      <c r="BE145" s="24">
        <v>0</v>
      </c>
      <c r="BF145" s="24">
        <f>142</f>
        <v>142</v>
      </c>
      <c r="BH145" s="24">
        <f t="shared" si="201"/>
        <v>0</v>
      </c>
      <c r="BI145" s="24">
        <f t="shared" si="202"/>
        <v>0</v>
      </c>
      <c r="BJ145" s="24">
        <f t="shared" si="203"/>
        <v>0</v>
      </c>
      <c r="BK145" s="26" t="s">
        <v>53</v>
      </c>
      <c r="BL145" s="24">
        <v>94</v>
      </c>
      <c r="BW145" s="24">
        <v>21</v>
      </c>
      <c r="BX145" s="4" t="s">
        <v>448</v>
      </c>
    </row>
    <row r="146" spans="1:76" ht="14.4" x14ac:dyDescent="0.3">
      <c r="A146" s="27" t="s">
        <v>43</v>
      </c>
      <c r="B146" s="28" t="s">
        <v>373</v>
      </c>
      <c r="C146" s="98" t="s">
        <v>449</v>
      </c>
      <c r="D146" s="99"/>
      <c r="E146" s="29" t="s">
        <v>3</v>
      </c>
      <c r="F146" s="29" t="s">
        <v>3</v>
      </c>
      <c r="G146" s="29" t="s">
        <v>3</v>
      </c>
      <c r="H146" s="1">
        <f>ROUND(SUM(H147:H147),2)</f>
        <v>0</v>
      </c>
      <c r="I146" s="1">
        <f>ROUND(SUM(I147:I147),2)</f>
        <v>0</v>
      </c>
      <c r="J146" s="1">
        <f>ROUND(SUM(J147:J147),2)</f>
        <v>0</v>
      </c>
      <c r="K146" s="30"/>
      <c r="AI146" s="10" t="s">
        <v>43</v>
      </c>
      <c r="AS146" s="1">
        <f>SUM(AJ147:AJ147)</f>
        <v>0</v>
      </c>
      <c r="AT146" s="1">
        <f>SUM(AK147:AK147)</f>
        <v>0</v>
      </c>
      <c r="AU146" s="1">
        <f>SUM(AL147:AL147)</f>
        <v>0</v>
      </c>
    </row>
    <row r="147" spans="1:76" ht="26.4" x14ac:dyDescent="0.3">
      <c r="A147" s="2" t="s">
        <v>450</v>
      </c>
      <c r="B147" s="3" t="s">
        <v>451</v>
      </c>
      <c r="C147" s="82" t="s">
        <v>452</v>
      </c>
      <c r="D147" s="81"/>
      <c r="E147" s="3" t="s">
        <v>49</v>
      </c>
      <c r="F147" s="24">
        <v>240</v>
      </c>
      <c r="G147" s="180">
        <v>0</v>
      </c>
      <c r="H147" s="24">
        <f>ROUND(F147*AO147,2)</f>
        <v>0</v>
      </c>
      <c r="I147" s="24">
        <f>ROUND(F147*AP147,2)</f>
        <v>0</v>
      </c>
      <c r="J147" s="24">
        <f>ROUND(F147*G147,2)</f>
        <v>0</v>
      </c>
      <c r="K147" s="25"/>
      <c r="Z147" s="24">
        <f>ROUND(IF(AQ147="5",BJ147,0),2)</f>
        <v>0</v>
      </c>
      <c r="AB147" s="24">
        <f>ROUND(IF(AQ147="1",BH147,0),2)</f>
        <v>0</v>
      </c>
      <c r="AC147" s="24">
        <f>ROUND(IF(AQ147="1",BI147,0),2)</f>
        <v>0</v>
      </c>
      <c r="AD147" s="24">
        <f>ROUND(IF(AQ147="7",BH147,0),2)</f>
        <v>0</v>
      </c>
      <c r="AE147" s="24">
        <f>ROUND(IF(AQ147="7",BI147,0),2)</f>
        <v>0</v>
      </c>
      <c r="AF147" s="24">
        <f>ROUND(IF(AQ147="2",BH147,0),2)</f>
        <v>0</v>
      </c>
      <c r="AG147" s="24">
        <f>ROUND(IF(AQ147="2",BI147,0),2)</f>
        <v>0</v>
      </c>
      <c r="AH147" s="24">
        <f>ROUND(IF(AQ147="0",BJ147,0),2)</f>
        <v>0</v>
      </c>
      <c r="AI147" s="10" t="s">
        <v>43</v>
      </c>
      <c r="AJ147" s="24">
        <f>IF(AN147=0,J147,0)</f>
        <v>0</v>
      </c>
      <c r="AK147" s="24">
        <f>IF(AN147=12,J147,0)</f>
        <v>0</v>
      </c>
      <c r="AL147" s="24">
        <f>IF(AN147=21,J147,0)</f>
        <v>0</v>
      </c>
      <c r="AN147" s="24">
        <v>21</v>
      </c>
      <c r="AO147" s="24">
        <f>G147*0</f>
        <v>0</v>
      </c>
      <c r="AP147" s="24">
        <f>G147*(1-0)</f>
        <v>0</v>
      </c>
      <c r="AQ147" s="26" t="s">
        <v>46</v>
      </c>
      <c r="AV147" s="24">
        <f>ROUND(AW147+AX147,2)</f>
        <v>0</v>
      </c>
      <c r="AW147" s="24">
        <f>ROUND(F147*AO147,2)</f>
        <v>0</v>
      </c>
      <c r="AX147" s="24">
        <f>ROUND(F147*AP147,2)</f>
        <v>0</v>
      </c>
      <c r="AY147" s="26" t="s">
        <v>453</v>
      </c>
      <c r="AZ147" s="26" t="s">
        <v>427</v>
      </c>
      <c r="BA147" s="10" t="s">
        <v>52</v>
      </c>
      <c r="BC147" s="24">
        <f>AW147+AX147</f>
        <v>0</v>
      </c>
      <c r="BD147" s="24">
        <f>G147/(100-BE147)*100</f>
        <v>0</v>
      </c>
      <c r="BE147" s="24">
        <v>0</v>
      </c>
      <c r="BF147" s="24">
        <f>144</f>
        <v>144</v>
      </c>
      <c r="BH147" s="24">
        <f>F147*AO147</f>
        <v>0</v>
      </c>
      <c r="BI147" s="24">
        <f>F147*AP147</f>
        <v>0</v>
      </c>
      <c r="BJ147" s="24">
        <f>F147*G147</f>
        <v>0</v>
      </c>
      <c r="BK147" s="26" t="s">
        <v>53</v>
      </c>
      <c r="BL147" s="24">
        <v>95</v>
      </c>
      <c r="BW147" s="24">
        <v>21</v>
      </c>
      <c r="BX147" s="4" t="s">
        <v>452</v>
      </c>
    </row>
    <row r="148" spans="1:76" ht="14.4" x14ac:dyDescent="0.3">
      <c r="A148" s="27" t="s">
        <v>43</v>
      </c>
      <c r="B148" s="28" t="s">
        <v>376</v>
      </c>
      <c r="C148" s="98" t="s">
        <v>454</v>
      </c>
      <c r="D148" s="99"/>
      <c r="E148" s="29" t="s">
        <v>3</v>
      </c>
      <c r="F148" s="29" t="s">
        <v>3</v>
      </c>
      <c r="G148" s="29" t="s">
        <v>3</v>
      </c>
      <c r="H148" s="1">
        <f>ROUND(SUM(H149:H158),2)</f>
        <v>0</v>
      </c>
      <c r="I148" s="1">
        <f>ROUND(SUM(I149:I158),2)</f>
        <v>0</v>
      </c>
      <c r="J148" s="1">
        <f>ROUND(SUM(J149:J158),2)</f>
        <v>0</v>
      </c>
      <c r="K148" s="30"/>
      <c r="AI148" s="10" t="s">
        <v>43</v>
      </c>
      <c r="AS148" s="1">
        <f>SUM(AJ149:AJ158)</f>
        <v>0</v>
      </c>
      <c r="AT148" s="1">
        <f>SUM(AK149:AK158)</f>
        <v>0</v>
      </c>
      <c r="AU148" s="1">
        <f>SUM(AL149:AL158)</f>
        <v>0</v>
      </c>
    </row>
    <row r="149" spans="1:76" ht="14.4" x14ac:dyDescent="0.3">
      <c r="A149" s="2" t="s">
        <v>455</v>
      </c>
      <c r="B149" s="3" t="s">
        <v>456</v>
      </c>
      <c r="C149" s="82" t="s">
        <v>457</v>
      </c>
      <c r="D149" s="81"/>
      <c r="E149" s="3" t="s">
        <v>49</v>
      </c>
      <c r="F149" s="24">
        <v>14.6875</v>
      </c>
      <c r="G149" s="180">
        <v>0</v>
      </c>
      <c r="H149" s="24">
        <f t="shared" ref="H149:H158" si="204">ROUND(F149*AO149,2)</f>
        <v>0</v>
      </c>
      <c r="I149" s="24">
        <f t="shared" ref="I149:I158" si="205">ROUND(F149*AP149,2)</f>
        <v>0</v>
      </c>
      <c r="J149" s="24">
        <f t="shared" ref="J149:J158" si="206">ROUND(F149*G149,2)</f>
        <v>0</v>
      </c>
      <c r="K149" s="25"/>
      <c r="Z149" s="24">
        <f t="shared" ref="Z149:Z158" si="207">ROUND(IF(AQ149="5",BJ149,0),2)</f>
        <v>0</v>
      </c>
      <c r="AB149" s="24">
        <f t="shared" ref="AB149:AB158" si="208">ROUND(IF(AQ149="1",BH149,0),2)</f>
        <v>0</v>
      </c>
      <c r="AC149" s="24">
        <f t="shared" ref="AC149:AC158" si="209">ROUND(IF(AQ149="1",BI149,0),2)</f>
        <v>0</v>
      </c>
      <c r="AD149" s="24">
        <f t="shared" ref="AD149:AD158" si="210">ROUND(IF(AQ149="7",BH149,0),2)</f>
        <v>0</v>
      </c>
      <c r="AE149" s="24">
        <f t="shared" ref="AE149:AE158" si="211">ROUND(IF(AQ149="7",BI149,0),2)</f>
        <v>0</v>
      </c>
      <c r="AF149" s="24">
        <f t="shared" ref="AF149:AF158" si="212">ROUND(IF(AQ149="2",BH149,0),2)</f>
        <v>0</v>
      </c>
      <c r="AG149" s="24">
        <f t="shared" ref="AG149:AG158" si="213">ROUND(IF(AQ149="2",BI149,0),2)</f>
        <v>0</v>
      </c>
      <c r="AH149" s="24">
        <f t="shared" ref="AH149:AH158" si="214">ROUND(IF(AQ149="0",BJ149,0),2)</f>
        <v>0</v>
      </c>
      <c r="AI149" s="10" t="s">
        <v>43</v>
      </c>
      <c r="AJ149" s="24">
        <f t="shared" ref="AJ149:AJ158" si="215">IF(AN149=0,J149,0)</f>
        <v>0</v>
      </c>
      <c r="AK149" s="24">
        <f t="shared" ref="AK149:AK158" si="216">IF(AN149=12,J149,0)</f>
        <v>0</v>
      </c>
      <c r="AL149" s="24">
        <f t="shared" ref="AL149:AL158" si="217">IF(AN149=21,J149,0)</f>
        <v>0</v>
      </c>
      <c r="AN149" s="24">
        <v>21</v>
      </c>
      <c r="AO149" s="24">
        <f>G149*0.045569212</f>
        <v>0</v>
      </c>
      <c r="AP149" s="24">
        <f>G149*(1-0.045569212)</f>
        <v>0</v>
      </c>
      <c r="AQ149" s="26" t="s">
        <v>46</v>
      </c>
      <c r="AV149" s="24">
        <f t="shared" ref="AV149:AV158" si="218">ROUND(AW149+AX149,2)</f>
        <v>0</v>
      </c>
      <c r="AW149" s="24">
        <f t="shared" ref="AW149:AW158" si="219">ROUND(F149*AO149,2)</f>
        <v>0</v>
      </c>
      <c r="AX149" s="24">
        <f t="shared" ref="AX149:AX158" si="220">ROUND(F149*AP149,2)</f>
        <v>0</v>
      </c>
      <c r="AY149" s="26" t="s">
        <v>458</v>
      </c>
      <c r="AZ149" s="26" t="s">
        <v>427</v>
      </c>
      <c r="BA149" s="10" t="s">
        <v>52</v>
      </c>
      <c r="BC149" s="24">
        <f t="shared" ref="BC149:BC158" si="221">AW149+AX149</f>
        <v>0</v>
      </c>
      <c r="BD149" s="24">
        <f t="shared" ref="BD149:BD158" si="222">G149/(100-BE149)*100</f>
        <v>0</v>
      </c>
      <c r="BE149" s="24">
        <v>0</v>
      </c>
      <c r="BF149" s="24">
        <f>146</f>
        <v>146</v>
      </c>
      <c r="BH149" s="24">
        <f t="shared" ref="BH149:BH158" si="223">F149*AO149</f>
        <v>0</v>
      </c>
      <c r="BI149" s="24">
        <f t="shared" ref="BI149:BI158" si="224">F149*AP149</f>
        <v>0</v>
      </c>
      <c r="BJ149" s="24">
        <f t="shared" ref="BJ149:BJ158" si="225">F149*G149</f>
        <v>0</v>
      </c>
      <c r="BK149" s="26" t="s">
        <v>53</v>
      </c>
      <c r="BL149" s="24">
        <v>96</v>
      </c>
      <c r="BW149" s="24">
        <v>21</v>
      </c>
      <c r="BX149" s="4" t="s">
        <v>457</v>
      </c>
    </row>
    <row r="150" spans="1:76" ht="14.4" x14ac:dyDescent="0.3">
      <c r="A150" s="2" t="s">
        <v>459</v>
      </c>
      <c r="B150" s="3" t="s">
        <v>460</v>
      </c>
      <c r="C150" s="82" t="s">
        <v>461</v>
      </c>
      <c r="D150" s="81"/>
      <c r="E150" s="3" t="s">
        <v>49</v>
      </c>
      <c r="F150" s="24">
        <v>14.835000000000001</v>
      </c>
      <c r="G150" s="180">
        <v>0</v>
      </c>
      <c r="H150" s="24">
        <f t="shared" si="204"/>
        <v>0</v>
      </c>
      <c r="I150" s="24">
        <f t="shared" si="205"/>
        <v>0</v>
      </c>
      <c r="J150" s="24">
        <f t="shared" si="206"/>
        <v>0</v>
      </c>
      <c r="K150" s="25"/>
      <c r="Z150" s="24">
        <f t="shared" si="207"/>
        <v>0</v>
      </c>
      <c r="AB150" s="24">
        <f t="shared" si="208"/>
        <v>0</v>
      </c>
      <c r="AC150" s="24">
        <f t="shared" si="209"/>
        <v>0</v>
      </c>
      <c r="AD150" s="24">
        <f t="shared" si="210"/>
        <v>0</v>
      </c>
      <c r="AE150" s="24">
        <f t="shared" si="211"/>
        <v>0</v>
      </c>
      <c r="AF150" s="24">
        <f t="shared" si="212"/>
        <v>0</v>
      </c>
      <c r="AG150" s="24">
        <f t="shared" si="213"/>
        <v>0</v>
      </c>
      <c r="AH150" s="24">
        <f t="shared" si="214"/>
        <v>0</v>
      </c>
      <c r="AI150" s="10" t="s">
        <v>43</v>
      </c>
      <c r="AJ150" s="24">
        <f t="shared" si="215"/>
        <v>0</v>
      </c>
      <c r="AK150" s="24">
        <f t="shared" si="216"/>
        <v>0</v>
      </c>
      <c r="AL150" s="24">
        <f t="shared" si="217"/>
        <v>0</v>
      </c>
      <c r="AN150" s="24">
        <v>21</v>
      </c>
      <c r="AO150" s="24">
        <f>G150*0.057003152</f>
        <v>0</v>
      </c>
      <c r="AP150" s="24">
        <f>G150*(1-0.057003152)</f>
        <v>0</v>
      </c>
      <c r="AQ150" s="26" t="s">
        <v>46</v>
      </c>
      <c r="AV150" s="24">
        <f t="shared" si="218"/>
        <v>0</v>
      </c>
      <c r="AW150" s="24">
        <f t="shared" si="219"/>
        <v>0</v>
      </c>
      <c r="AX150" s="24">
        <f t="shared" si="220"/>
        <v>0</v>
      </c>
      <c r="AY150" s="26" t="s">
        <v>458</v>
      </c>
      <c r="AZ150" s="26" t="s">
        <v>427</v>
      </c>
      <c r="BA150" s="10" t="s">
        <v>52</v>
      </c>
      <c r="BC150" s="24">
        <f t="shared" si="221"/>
        <v>0</v>
      </c>
      <c r="BD150" s="24">
        <f t="shared" si="222"/>
        <v>0</v>
      </c>
      <c r="BE150" s="24">
        <v>0</v>
      </c>
      <c r="BF150" s="24">
        <f>147</f>
        <v>147</v>
      </c>
      <c r="BH150" s="24">
        <f t="shared" si="223"/>
        <v>0</v>
      </c>
      <c r="BI150" s="24">
        <f t="shared" si="224"/>
        <v>0</v>
      </c>
      <c r="BJ150" s="24">
        <f t="shared" si="225"/>
        <v>0</v>
      </c>
      <c r="BK150" s="26" t="s">
        <v>53</v>
      </c>
      <c r="BL150" s="24">
        <v>96</v>
      </c>
      <c r="BW150" s="24">
        <v>21</v>
      </c>
      <c r="BX150" s="4" t="s">
        <v>461</v>
      </c>
    </row>
    <row r="151" spans="1:76" ht="14.4" x14ac:dyDescent="0.3">
      <c r="A151" s="2" t="s">
        <v>462</v>
      </c>
      <c r="B151" s="3" t="s">
        <v>463</v>
      </c>
      <c r="C151" s="82" t="s">
        <v>464</v>
      </c>
      <c r="D151" s="81"/>
      <c r="E151" s="3" t="s">
        <v>91</v>
      </c>
      <c r="F151" s="24">
        <v>6.25</v>
      </c>
      <c r="G151" s="180">
        <v>0</v>
      </c>
      <c r="H151" s="24">
        <f t="shared" si="204"/>
        <v>0</v>
      </c>
      <c r="I151" s="24">
        <f t="shared" si="205"/>
        <v>0</v>
      </c>
      <c r="J151" s="24">
        <f t="shared" si="206"/>
        <v>0</v>
      </c>
      <c r="K151" s="25"/>
      <c r="Z151" s="24">
        <f t="shared" si="207"/>
        <v>0</v>
      </c>
      <c r="AB151" s="24">
        <f t="shared" si="208"/>
        <v>0</v>
      </c>
      <c r="AC151" s="24">
        <f t="shared" si="209"/>
        <v>0</v>
      </c>
      <c r="AD151" s="24">
        <f t="shared" si="210"/>
        <v>0</v>
      </c>
      <c r="AE151" s="24">
        <f t="shared" si="211"/>
        <v>0</v>
      </c>
      <c r="AF151" s="24">
        <f t="shared" si="212"/>
        <v>0</v>
      </c>
      <c r="AG151" s="24">
        <f t="shared" si="213"/>
        <v>0</v>
      </c>
      <c r="AH151" s="24">
        <f t="shared" si="214"/>
        <v>0</v>
      </c>
      <c r="AI151" s="10" t="s">
        <v>43</v>
      </c>
      <c r="AJ151" s="24">
        <f t="shared" si="215"/>
        <v>0</v>
      </c>
      <c r="AK151" s="24">
        <f t="shared" si="216"/>
        <v>0</v>
      </c>
      <c r="AL151" s="24">
        <f t="shared" si="217"/>
        <v>0</v>
      </c>
      <c r="AN151" s="24">
        <v>21</v>
      </c>
      <c r="AO151" s="24">
        <f>G151*0</f>
        <v>0</v>
      </c>
      <c r="AP151" s="24">
        <f>G151*(1-0)</f>
        <v>0</v>
      </c>
      <c r="AQ151" s="26" t="s">
        <v>46</v>
      </c>
      <c r="AV151" s="24">
        <f t="shared" si="218"/>
        <v>0</v>
      </c>
      <c r="AW151" s="24">
        <f t="shared" si="219"/>
        <v>0</v>
      </c>
      <c r="AX151" s="24">
        <f t="shared" si="220"/>
        <v>0</v>
      </c>
      <c r="AY151" s="26" t="s">
        <v>458</v>
      </c>
      <c r="AZ151" s="26" t="s">
        <v>427</v>
      </c>
      <c r="BA151" s="10" t="s">
        <v>52</v>
      </c>
      <c r="BC151" s="24">
        <f t="shared" si="221"/>
        <v>0</v>
      </c>
      <c r="BD151" s="24">
        <f t="shared" si="222"/>
        <v>0</v>
      </c>
      <c r="BE151" s="24">
        <v>0</v>
      </c>
      <c r="BF151" s="24">
        <f>148</f>
        <v>148</v>
      </c>
      <c r="BH151" s="24">
        <f t="shared" si="223"/>
        <v>0</v>
      </c>
      <c r="BI151" s="24">
        <f t="shared" si="224"/>
        <v>0</v>
      </c>
      <c r="BJ151" s="24">
        <f t="shared" si="225"/>
        <v>0</v>
      </c>
      <c r="BK151" s="26" t="s">
        <v>53</v>
      </c>
      <c r="BL151" s="24">
        <v>96</v>
      </c>
      <c r="BW151" s="24">
        <v>21</v>
      </c>
      <c r="BX151" s="4" t="s">
        <v>464</v>
      </c>
    </row>
    <row r="152" spans="1:76" ht="14.4" x14ac:dyDescent="0.3">
      <c r="A152" s="2" t="s">
        <v>465</v>
      </c>
      <c r="B152" s="3" t="s">
        <v>466</v>
      </c>
      <c r="C152" s="82" t="s">
        <v>467</v>
      </c>
      <c r="D152" s="81"/>
      <c r="E152" s="3" t="s">
        <v>49</v>
      </c>
      <c r="F152" s="24">
        <v>23.164999999999999</v>
      </c>
      <c r="G152" s="180">
        <v>0</v>
      </c>
      <c r="H152" s="24">
        <f t="shared" si="204"/>
        <v>0</v>
      </c>
      <c r="I152" s="24">
        <f t="shared" si="205"/>
        <v>0</v>
      </c>
      <c r="J152" s="24">
        <f t="shared" si="206"/>
        <v>0</v>
      </c>
      <c r="K152" s="25"/>
      <c r="Z152" s="24">
        <f t="shared" si="207"/>
        <v>0</v>
      </c>
      <c r="AB152" s="24">
        <f t="shared" si="208"/>
        <v>0</v>
      </c>
      <c r="AC152" s="24">
        <f t="shared" si="209"/>
        <v>0</v>
      </c>
      <c r="AD152" s="24">
        <f t="shared" si="210"/>
        <v>0</v>
      </c>
      <c r="AE152" s="24">
        <f t="shared" si="211"/>
        <v>0</v>
      </c>
      <c r="AF152" s="24">
        <f t="shared" si="212"/>
        <v>0</v>
      </c>
      <c r="AG152" s="24">
        <f t="shared" si="213"/>
        <v>0</v>
      </c>
      <c r="AH152" s="24">
        <f t="shared" si="214"/>
        <v>0</v>
      </c>
      <c r="AI152" s="10" t="s">
        <v>43</v>
      </c>
      <c r="AJ152" s="24">
        <f t="shared" si="215"/>
        <v>0</v>
      </c>
      <c r="AK152" s="24">
        <f t="shared" si="216"/>
        <v>0</v>
      </c>
      <c r="AL152" s="24">
        <f t="shared" si="217"/>
        <v>0</v>
      </c>
      <c r="AN152" s="24">
        <v>21</v>
      </c>
      <c r="AO152" s="24">
        <f>G152*0.029554709</f>
        <v>0</v>
      </c>
      <c r="AP152" s="24">
        <f>G152*(1-0.029554709)</f>
        <v>0</v>
      </c>
      <c r="AQ152" s="26" t="s">
        <v>46</v>
      </c>
      <c r="AV152" s="24">
        <f t="shared" si="218"/>
        <v>0</v>
      </c>
      <c r="AW152" s="24">
        <f t="shared" si="219"/>
        <v>0</v>
      </c>
      <c r="AX152" s="24">
        <f t="shared" si="220"/>
        <v>0</v>
      </c>
      <c r="AY152" s="26" t="s">
        <v>458</v>
      </c>
      <c r="AZ152" s="26" t="s">
        <v>427</v>
      </c>
      <c r="BA152" s="10" t="s">
        <v>52</v>
      </c>
      <c r="BC152" s="24">
        <f t="shared" si="221"/>
        <v>0</v>
      </c>
      <c r="BD152" s="24">
        <f t="shared" si="222"/>
        <v>0</v>
      </c>
      <c r="BE152" s="24">
        <v>0</v>
      </c>
      <c r="BF152" s="24">
        <f>149</f>
        <v>149</v>
      </c>
      <c r="BH152" s="24">
        <f t="shared" si="223"/>
        <v>0</v>
      </c>
      <c r="BI152" s="24">
        <f t="shared" si="224"/>
        <v>0</v>
      </c>
      <c r="BJ152" s="24">
        <f t="shared" si="225"/>
        <v>0</v>
      </c>
      <c r="BK152" s="26" t="s">
        <v>53</v>
      </c>
      <c r="BL152" s="24">
        <v>96</v>
      </c>
      <c r="BW152" s="24">
        <v>21</v>
      </c>
      <c r="BX152" s="4" t="s">
        <v>467</v>
      </c>
    </row>
    <row r="153" spans="1:76" ht="14.4" x14ac:dyDescent="0.3">
      <c r="A153" s="2" t="s">
        <v>468</v>
      </c>
      <c r="B153" s="3" t="s">
        <v>469</v>
      </c>
      <c r="C153" s="82" t="s">
        <v>470</v>
      </c>
      <c r="D153" s="81"/>
      <c r="E153" s="3" t="s">
        <v>49</v>
      </c>
      <c r="F153" s="24">
        <v>23.164999999999999</v>
      </c>
      <c r="G153" s="180">
        <v>0</v>
      </c>
      <c r="H153" s="24">
        <f t="shared" si="204"/>
        <v>0</v>
      </c>
      <c r="I153" s="24">
        <f t="shared" si="205"/>
        <v>0</v>
      </c>
      <c r="J153" s="24">
        <f t="shared" si="206"/>
        <v>0</v>
      </c>
      <c r="K153" s="25"/>
      <c r="Z153" s="24">
        <f t="shared" si="207"/>
        <v>0</v>
      </c>
      <c r="AB153" s="24">
        <f t="shared" si="208"/>
        <v>0</v>
      </c>
      <c r="AC153" s="24">
        <f t="shared" si="209"/>
        <v>0</v>
      </c>
      <c r="AD153" s="24">
        <f t="shared" si="210"/>
        <v>0</v>
      </c>
      <c r="AE153" s="24">
        <f t="shared" si="211"/>
        <v>0</v>
      </c>
      <c r="AF153" s="24">
        <f t="shared" si="212"/>
        <v>0</v>
      </c>
      <c r="AG153" s="24">
        <f t="shared" si="213"/>
        <v>0</v>
      </c>
      <c r="AH153" s="24">
        <f t="shared" si="214"/>
        <v>0</v>
      </c>
      <c r="AI153" s="10" t="s">
        <v>43</v>
      </c>
      <c r="AJ153" s="24">
        <f t="shared" si="215"/>
        <v>0</v>
      </c>
      <c r="AK153" s="24">
        <f t="shared" si="216"/>
        <v>0</v>
      </c>
      <c r="AL153" s="24">
        <f t="shared" si="217"/>
        <v>0</v>
      </c>
      <c r="AN153" s="24">
        <v>21</v>
      </c>
      <c r="AO153" s="24">
        <f>G153*0</f>
        <v>0</v>
      </c>
      <c r="AP153" s="24">
        <f>G153*(1-0)</f>
        <v>0</v>
      </c>
      <c r="AQ153" s="26" t="s">
        <v>46</v>
      </c>
      <c r="AV153" s="24">
        <f t="shared" si="218"/>
        <v>0</v>
      </c>
      <c r="AW153" s="24">
        <f t="shared" si="219"/>
        <v>0</v>
      </c>
      <c r="AX153" s="24">
        <f t="shared" si="220"/>
        <v>0</v>
      </c>
      <c r="AY153" s="26" t="s">
        <v>458</v>
      </c>
      <c r="AZ153" s="26" t="s">
        <v>427</v>
      </c>
      <c r="BA153" s="10" t="s">
        <v>52</v>
      </c>
      <c r="BC153" s="24">
        <f t="shared" si="221"/>
        <v>0</v>
      </c>
      <c r="BD153" s="24">
        <f t="shared" si="222"/>
        <v>0</v>
      </c>
      <c r="BE153" s="24">
        <v>0</v>
      </c>
      <c r="BF153" s="24">
        <f>150</f>
        <v>150</v>
      </c>
      <c r="BH153" s="24">
        <f t="shared" si="223"/>
        <v>0</v>
      </c>
      <c r="BI153" s="24">
        <f t="shared" si="224"/>
        <v>0</v>
      </c>
      <c r="BJ153" s="24">
        <f t="shared" si="225"/>
        <v>0</v>
      </c>
      <c r="BK153" s="26" t="s">
        <v>53</v>
      </c>
      <c r="BL153" s="24">
        <v>96</v>
      </c>
      <c r="BW153" s="24">
        <v>21</v>
      </c>
      <c r="BX153" s="4" t="s">
        <v>470</v>
      </c>
    </row>
    <row r="154" spans="1:76" ht="14.4" x14ac:dyDescent="0.3">
      <c r="A154" s="2" t="s">
        <v>471</v>
      </c>
      <c r="B154" s="3" t="s">
        <v>472</v>
      </c>
      <c r="C154" s="82" t="s">
        <v>473</v>
      </c>
      <c r="D154" s="81"/>
      <c r="E154" s="3" t="s">
        <v>147</v>
      </c>
      <c r="F154" s="24">
        <v>3.9</v>
      </c>
      <c r="G154" s="180">
        <v>0</v>
      </c>
      <c r="H154" s="24">
        <f t="shared" si="204"/>
        <v>0</v>
      </c>
      <c r="I154" s="24">
        <f t="shared" si="205"/>
        <v>0</v>
      </c>
      <c r="J154" s="24">
        <f t="shared" si="206"/>
        <v>0</v>
      </c>
      <c r="K154" s="25"/>
      <c r="Z154" s="24">
        <f t="shared" si="207"/>
        <v>0</v>
      </c>
      <c r="AB154" s="24">
        <f t="shared" si="208"/>
        <v>0</v>
      </c>
      <c r="AC154" s="24">
        <f t="shared" si="209"/>
        <v>0</v>
      </c>
      <c r="AD154" s="24">
        <f t="shared" si="210"/>
        <v>0</v>
      </c>
      <c r="AE154" s="24">
        <f t="shared" si="211"/>
        <v>0</v>
      </c>
      <c r="AF154" s="24">
        <f t="shared" si="212"/>
        <v>0</v>
      </c>
      <c r="AG154" s="24">
        <f t="shared" si="213"/>
        <v>0</v>
      </c>
      <c r="AH154" s="24">
        <f t="shared" si="214"/>
        <v>0</v>
      </c>
      <c r="AI154" s="10" t="s">
        <v>43</v>
      </c>
      <c r="AJ154" s="24">
        <f t="shared" si="215"/>
        <v>0</v>
      </c>
      <c r="AK154" s="24">
        <f t="shared" si="216"/>
        <v>0</v>
      </c>
      <c r="AL154" s="24">
        <f t="shared" si="217"/>
        <v>0</v>
      </c>
      <c r="AN154" s="24">
        <v>21</v>
      </c>
      <c r="AO154" s="24">
        <f>G154*0.031708966</f>
        <v>0</v>
      </c>
      <c r="AP154" s="24">
        <f>G154*(1-0.031708966)</f>
        <v>0</v>
      </c>
      <c r="AQ154" s="26" t="s">
        <v>46</v>
      </c>
      <c r="AV154" s="24">
        <f t="shared" si="218"/>
        <v>0</v>
      </c>
      <c r="AW154" s="24">
        <f t="shared" si="219"/>
        <v>0</v>
      </c>
      <c r="AX154" s="24">
        <f t="shared" si="220"/>
        <v>0</v>
      </c>
      <c r="AY154" s="26" t="s">
        <v>458</v>
      </c>
      <c r="AZ154" s="26" t="s">
        <v>427</v>
      </c>
      <c r="BA154" s="10" t="s">
        <v>52</v>
      </c>
      <c r="BC154" s="24">
        <f t="shared" si="221"/>
        <v>0</v>
      </c>
      <c r="BD154" s="24">
        <f t="shared" si="222"/>
        <v>0</v>
      </c>
      <c r="BE154" s="24">
        <v>0</v>
      </c>
      <c r="BF154" s="24">
        <f>151</f>
        <v>151</v>
      </c>
      <c r="BH154" s="24">
        <f t="shared" si="223"/>
        <v>0</v>
      </c>
      <c r="BI154" s="24">
        <f t="shared" si="224"/>
        <v>0</v>
      </c>
      <c r="BJ154" s="24">
        <f t="shared" si="225"/>
        <v>0</v>
      </c>
      <c r="BK154" s="26" t="s">
        <v>53</v>
      </c>
      <c r="BL154" s="24">
        <v>96</v>
      </c>
      <c r="BW154" s="24">
        <v>21</v>
      </c>
      <c r="BX154" s="4" t="s">
        <v>473</v>
      </c>
    </row>
    <row r="155" spans="1:76" ht="14.4" x14ac:dyDescent="0.3">
      <c r="A155" s="2" t="s">
        <v>474</v>
      </c>
      <c r="B155" s="3" t="s">
        <v>475</v>
      </c>
      <c r="C155" s="82" t="s">
        <v>476</v>
      </c>
      <c r="D155" s="81"/>
      <c r="E155" s="3" t="s">
        <v>76</v>
      </c>
      <c r="F155" s="24">
        <v>15</v>
      </c>
      <c r="G155" s="180">
        <v>0</v>
      </c>
      <c r="H155" s="24">
        <f t="shared" si="204"/>
        <v>0</v>
      </c>
      <c r="I155" s="24">
        <f t="shared" si="205"/>
        <v>0</v>
      </c>
      <c r="J155" s="24">
        <f t="shared" si="206"/>
        <v>0</v>
      </c>
      <c r="K155" s="25"/>
      <c r="Z155" s="24">
        <f t="shared" si="207"/>
        <v>0</v>
      </c>
      <c r="AB155" s="24">
        <f t="shared" si="208"/>
        <v>0</v>
      </c>
      <c r="AC155" s="24">
        <f t="shared" si="209"/>
        <v>0</v>
      </c>
      <c r="AD155" s="24">
        <f t="shared" si="210"/>
        <v>0</v>
      </c>
      <c r="AE155" s="24">
        <f t="shared" si="211"/>
        <v>0</v>
      </c>
      <c r="AF155" s="24">
        <f t="shared" si="212"/>
        <v>0</v>
      </c>
      <c r="AG155" s="24">
        <f t="shared" si="213"/>
        <v>0</v>
      </c>
      <c r="AH155" s="24">
        <f t="shared" si="214"/>
        <v>0</v>
      </c>
      <c r="AI155" s="10" t="s">
        <v>43</v>
      </c>
      <c r="AJ155" s="24">
        <f t="shared" si="215"/>
        <v>0</v>
      </c>
      <c r="AK155" s="24">
        <f t="shared" si="216"/>
        <v>0</v>
      </c>
      <c r="AL155" s="24">
        <f t="shared" si="217"/>
        <v>0</v>
      </c>
      <c r="AN155" s="24">
        <v>21</v>
      </c>
      <c r="AO155" s="24">
        <f>G155*0.026574074</f>
        <v>0</v>
      </c>
      <c r="AP155" s="24">
        <f>G155*(1-0.026574074)</f>
        <v>0</v>
      </c>
      <c r="AQ155" s="26" t="s">
        <v>46</v>
      </c>
      <c r="AV155" s="24">
        <f t="shared" si="218"/>
        <v>0</v>
      </c>
      <c r="AW155" s="24">
        <f t="shared" si="219"/>
        <v>0</v>
      </c>
      <c r="AX155" s="24">
        <f t="shared" si="220"/>
        <v>0</v>
      </c>
      <c r="AY155" s="26" t="s">
        <v>458</v>
      </c>
      <c r="AZ155" s="26" t="s">
        <v>427</v>
      </c>
      <c r="BA155" s="10" t="s">
        <v>52</v>
      </c>
      <c r="BC155" s="24">
        <f t="shared" si="221"/>
        <v>0</v>
      </c>
      <c r="BD155" s="24">
        <f t="shared" si="222"/>
        <v>0</v>
      </c>
      <c r="BE155" s="24">
        <v>0</v>
      </c>
      <c r="BF155" s="24">
        <f>152</f>
        <v>152</v>
      </c>
      <c r="BH155" s="24">
        <f t="shared" si="223"/>
        <v>0</v>
      </c>
      <c r="BI155" s="24">
        <f t="shared" si="224"/>
        <v>0</v>
      </c>
      <c r="BJ155" s="24">
        <f t="shared" si="225"/>
        <v>0</v>
      </c>
      <c r="BK155" s="26" t="s">
        <v>53</v>
      </c>
      <c r="BL155" s="24">
        <v>96</v>
      </c>
      <c r="BW155" s="24">
        <v>21</v>
      </c>
      <c r="BX155" s="4" t="s">
        <v>476</v>
      </c>
    </row>
    <row r="156" spans="1:76" ht="14.4" x14ac:dyDescent="0.3">
      <c r="A156" s="2" t="s">
        <v>477</v>
      </c>
      <c r="B156" s="3" t="s">
        <v>478</v>
      </c>
      <c r="C156" s="82" t="s">
        <v>479</v>
      </c>
      <c r="D156" s="81"/>
      <c r="E156" s="3" t="s">
        <v>91</v>
      </c>
      <c r="F156" s="24">
        <v>1</v>
      </c>
      <c r="G156" s="180">
        <v>0</v>
      </c>
      <c r="H156" s="24">
        <f t="shared" si="204"/>
        <v>0</v>
      </c>
      <c r="I156" s="24">
        <f t="shared" si="205"/>
        <v>0</v>
      </c>
      <c r="J156" s="24">
        <f t="shared" si="206"/>
        <v>0</v>
      </c>
      <c r="K156" s="25"/>
      <c r="Z156" s="24">
        <f t="shared" si="207"/>
        <v>0</v>
      </c>
      <c r="AB156" s="24">
        <f t="shared" si="208"/>
        <v>0</v>
      </c>
      <c r="AC156" s="24">
        <f t="shared" si="209"/>
        <v>0</v>
      </c>
      <c r="AD156" s="24">
        <f t="shared" si="210"/>
        <v>0</v>
      </c>
      <c r="AE156" s="24">
        <f t="shared" si="211"/>
        <v>0</v>
      </c>
      <c r="AF156" s="24">
        <f t="shared" si="212"/>
        <v>0</v>
      </c>
      <c r="AG156" s="24">
        <f t="shared" si="213"/>
        <v>0</v>
      </c>
      <c r="AH156" s="24">
        <f t="shared" si="214"/>
        <v>0</v>
      </c>
      <c r="AI156" s="10" t="s">
        <v>43</v>
      </c>
      <c r="AJ156" s="24">
        <f t="shared" si="215"/>
        <v>0</v>
      </c>
      <c r="AK156" s="24">
        <f t="shared" si="216"/>
        <v>0</v>
      </c>
      <c r="AL156" s="24">
        <f t="shared" si="217"/>
        <v>0</v>
      </c>
      <c r="AN156" s="24">
        <v>21</v>
      </c>
      <c r="AO156" s="24">
        <f>G156*0</f>
        <v>0</v>
      </c>
      <c r="AP156" s="24">
        <f>G156*(1-0)</f>
        <v>0</v>
      </c>
      <c r="AQ156" s="26" t="s">
        <v>46</v>
      </c>
      <c r="AV156" s="24">
        <f t="shared" si="218"/>
        <v>0</v>
      </c>
      <c r="AW156" s="24">
        <f t="shared" si="219"/>
        <v>0</v>
      </c>
      <c r="AX156" s="24">
        <f t="shared" si="220"/>
        <v>0</v>
      </c>
      <c r="AY156" s="26" t="s">
        <v>458</v>
      </c>
      <c r="AZ156" s="26" t="s">
        <v>427</v>
      </c>
      <c r="BA156" s="10" t="s">
        <v>52</v>
      </c>
      <c r="BC156" s="24">
        <f t="shared" si="221"/>
        <v>0</v>
      </c>
      <c r="BD156" s="24">
        <f t="shared" si="222"/>
        <v>0</v>
      </c>
      <c r="BE156" s="24">
        <v>0</v>
      </c>
      <c r="BF156" s="24">
        <f>153</f>
        <v>153</v>
      </c>
      <c r="BH156" s="24">
        <f t="shared" si="223"/>
        <v>0</v>
      </c>
      <c r="BI156" s="24">
        <f t="shared" si="224"/>
        <v>0</v>
      </c>
      <c r="BJ156" s="24">
        <f t="shared" si="225"/>
        <v>0</v>
      </c>
      <c r="BK156" s="26" t="s">
        <v>53</v>
      </c>
      <c r="BL156" s="24">
        <v>96</v>
      </c>
      <c r="BW156" s="24">
        <v>21</v>
      </c>
      <c r="BX156" s="4" t="s">
        <v>479</v>
      </c>
    </row>
    <row r="157" spans="1:76" ht="14.4" x14ac:dyDescent="0.3">
      <c r="A157" s="2" t="s">
        <v>480</v>
      </c>
      <c r="B157" s="3" t="s">
        <v>481</v>
      </c>
      <c r="C157" s="82" t="s">
        <v>482</v>
      </c>
      <c r="D157" s="81"/>
      <c r="E157" s="3" t="s">
        <v>91</v>
      </c>
      <c r="F157" s="24">
        <v>8.25</v>
      </c>
      <c r="G157" s="180">
        <v>0</v>
      </c>
      <c r="H157" s="24">
        <f t="shared" si="204"/>
        <v>0</v>
      </c>
      <c r="I157" s="24">
        <f t="shared" si="205"/>
        <v>0</v>
      </c>
      <c r="J157" s="24">
        <f t="shared" si="206"/>
        <v>0</v>
      </c>
      <c r="K157" s="25"/>
      <c r="Z157" s="24">
        <f t="shared" si="207"/>
        <v>0</v>
      </c>
      <c r="AB157" s="24">
        <f t="shared" si="208"/>
        <v>0</v>
      </c>
      <c r="AC157" s="24">
        <f t="shared" si="209"/>
        <v>0</v>
      </c>
      <c r="AD157" s="24">
        <f t="shared" si="210"/>
        <v>0</v>
      </c>
      <c r="AE157" s="24">
        <f t="shared" si="211"/>
        <v>0</v>
      </c>
      <c r="AF157" s="24">
        <f t="shared" si="212"/>
        <v>0</v>
      </c>
      <c r="AG157" s="24">
        <f t="shared" si="213"/>
        <v>0</v>
      </c>
      <c r="AH157" s="24">
        <f t="shared" si="214"/>
        <v>0</v>
      </c>
      <c r="AI157" s="10" t="s">
        <v>43</v>
      </c>
      <c r="AJ157" s="24">
        <f t="shared" si="215"/>
        <v>0</v>
      </c>
      <c r="AK157" s="24">
        <f t="shared" si="216"/>
        <v>0</v>
      </c>
      <c r="AL157" s="24">
        <f t="shared" si="217"/>
        <v>0</v>
      </c>
      <c r="AN157" s="24">
        <v>21</v>
      </c>
      <c r="AO157" s="24">
        <f>G157*0</f>
        <v>0</v>
      </c>
      <c r="AP157" s="24">
        <f>G157*(1-0)</f>
        <v>0</v>
      </c>
      <c r="AQ157" s="26" t="s">
        <v>46</v>
      </c>
      <c r="AV157" s="24">
        <f t="shared" si="218"/>
        <v>0</v>
      </c>
      <c r="AW157" s="24">
        <f t="shared" si="219"/>
        <v>0</v>
      </c>
      <c r="AX157" s="24">
        <f t="shared" si="220"/>
        <v>0</v>
      </c>
      <c r="AY157" s="26" t="s">
        <v>458</v>
      </c>
      <c r="AZ157" s="26" t="s">
        <v>427</v>
      </c>
      <c r="BA157" s="10" t="s">
        <v>52</v>
      </c>
      <c r="BC157" s="24">
        <f t="shared" si="221"/>
        <v>0</v>
      </c>
      <c r="BD157" s="24">
        <f t="shared" si="222"/>
        <v>0</v>
      </c>
      <c r="BE157" s="24">
        <v>0</v>
      </c>
      <c r="BF157" s="24">
        <f>154</f>
        <v>154</v>
      </c>
      <c r="BH157" s="24">
        <f t="shared" si="223"/>
        <v>0</v>
      </c>
      <c r="BI157" s="24">
        <f t="shared" si="224"/>
        <v>0</v>
      </c>
      <c r="BJ157" s="24">
        <f t="shared" si="225"/>
        <v>0</v>
      </c>
      <c r="BK157" s="26" t="s">
        <v>53</v>
      </c>
      <c r="BL157" s="24">
        <v>96</v>
      </c>
      <c r="BW157" s="24">
        <v>21</v>
      </c>
      <c r="BX157" s="4" t="s">
        <v>482</v>
      </c>
    </row>
    <row r="158" spans="1:76" ht="14.4" x14ac:dyDescent="0.3">
      <c r="A158" s="2" t="s">
        <v>483</v>
      </c>
      <c r="B158" s="3" t="s">
        <v>484</v>
      </c>
      <c r="C158" s="82" t="s">
        <v>485</v>
      </c>
      <c r="D158" s="81"/>
      <c r="E158" s="3" t="s">
        <v>49</v>
      </c>
      <c r="F158" s="24">
        <v>121.53</v>
      </c>
      <c r="G158" s="180">
        <v>0</v>
      </c>
      <c r="H158" s="24">
        <f t="shared" si="204"/>
        <v>0</v>
      </c>
      <c r="I158" s="24">
        <f t="shared" si="205"/>
        <v>0</v>
      </c>
      <c r="J158" s="24">
        <f t="shared" si="206"/>
        <v>0</v>
      </c>
      <c r="K158" s="25"/>
      <c r="Z158" s="24">
        <f t="shared" si="207"/>
        <v>0</v>
      </c>
      <c r="AB158" s="24">
        <f t="shared" si="208"/>
        <v>0</v>
      </c>
      <c r="AC158" s="24">
        <f t="shared" si="209"/>
        <v>0</v>
      </c>
      <c r="AD158" s="24">
        <f t="shared" si="210"/>
        <v>0</v>
      </c>
      <c r="AE158" s="24">
        <f t="shared" si="211"/>
        <v>0</v>
      </c>
      <c r="AF158" s="24">
        <f t="shared" si="212"/>
        <v>0</v>
      </c>
      <c r="AG158" s="24">
        <f t="shared" si="213"/>
        <v>0</v>
      </c>
      <c r="AH158" s="24">
        <f t="shared" si="214"/>
        <v>0</v>
      </c>
      <c r="AI158" s="10" t="s">
        <v>43</v>
      </c>
      <c r="AJ158" s="24">
        <f t="shared" si="215"/>
        <v>0</v>
      </c>
      <c r="AK158" s="24">
        <f t="shared" si="216"/>
        <v>0</v>
      </c>
      <c r="AL158" s="24">
        <f t="shared" si="217"/>
        <v>0</v>
      </c>
      <c r="AN158" s="24">
        <v>21</v>
      </c>
      <c r="AO158" s="24">
        <f>G158*0</f>
        <v>0</v>
      </c>
      <c r="AP158" s="24">
        <f>G158*(1-0)</f>
        <v>0</v>
      </c>
      <c r="AQ158" s="26" t="s">
        <v>46</v>
      </c>
      <c r="AV158" s="24">
        <f t="shared" si="218"/>
        <v>0</v>
      </c>
      <c r="AW158" s="24">
        <f t="shared" si="219"/>
        <v>0</v>
      </c>
      <c r="AX158" s="24">
        <f t="shared" si="220"/>
        <v>0</v>
      </c>
      <c r="AY158" s="26" t="s">
        <v>458</v>
      </c>
      <c r="AZ158" s="26" t="s">
        <v>427</v>
      </c>
      <c r="BA158" s="10" t="s">
        <v>52</v>
      </c>
      <c r="BC158" s="24">
        <f t="shared" si="221"/>
        <v>0</v>
      </c>
      <c r="BD158" s="24">
        <f t="shared" si="222"/>
        <v>0</v>
      </c>
      <c r="BE158" s="24">
        <v>0</v>
      </c>
      <c r="BF158" s="24">
        <f>155</f>
        <v>155</v>
      </c>
      <c r="BH158" s="24">
        <f t="shared" si="223"/>
        <v>0</v>
      </c>
      <c r="BI158" s="24">
        <f t="shared" si="224"/>
        <v>0</v>
      </c>
      <c r="BJ158" s="24">
        <f t="shared" si="225"/>
        <v>0</v>
      </c>
      <c r="BK158" s="26" t="s">
        <v>53</v>
      </c>
      <c r="BL158" s="24">
        <v>96</v>
      </c>
      <c r="BW158" s="24">
        <v>21</v>
      </c>
      <c r="BX158" s="4" t="s">
        <v>485</v>
      </c>
    </row>
    <row r="159" spans="1:76" ht="14.4" x14ac:dyDescent="0.3">
      <c r="A159" s="27" t="s">
        <v>43</v>
      </c>
      <c r="B159" s="28" t="s">
        <v>486</v>
      </c>
      <c r="C159" s="98" t="s">
        <v>487</v>
      </c>
      <c r="D159" s="99"/>
      <c r="E159" s="29" t="s">
        <v>3</v>
      </c>
      <c r="F159" s="29" t="s">
        <v>3</v>
      </c>
      <c r="G159" s="29" t="s">
        <v>3</v>
      </c>
      <c r="H159" s="1">
        <f>ROUND(SUM(H160:H163),2)</f>
        <v>0</v>
      </c>
      <c r="I159" s="1">
        <f>ROUND(SUM(I160:I163),2)</f>
        <v>0</v>
      </c>
      <c r="J159" s="1">
        <f>ROUND(SUM(J160:J163),2)</f>
        <v>0</v>
      </c>
      <c r="K159" s="30"/>
      <c r="AI159" s="10" t="s">
        <v>43</v>
      </c>
      <c r="AS159" s="1">
        <f>SUM(AJ160:AJ163)</f>
        <v>0</v>
      </c>
      <c r="AT159" s="1">
        <f>SUM(AK160:AK163)</f>
        <v>0</v>
      </c>
      <c r="AU159" s="1">
        <f>SUM(AL160:AL163)</f>
        <v>0</v>
      </c>
    </row>
    <row r="160" spans="1:76" ht="14.4" x14ac:dyDescent="0.3">
      <c r="A160" s="2" t="s">
        <v>488</v>
      </c>
      <c r="B160" s="3" t="s">
        <v>489</v>
      </c>
      <c r="C160" s="82" t="s">
        <v>490</v>
      </c>
      <c r="D160" s="81"/>
      <c r="E160" s="3" t="s">
        <v>261</v>
      </c>
      <c r="F160" s="24">
        <v>45.664999999999999</v>
      </c>
      <c r="G160" s="180">
        <v>0</v>
      </c>
      <c r="H160" s="24">
        <f>ROUND(F160*AO160,2)</f>
        <v>0</v>
      </c>
      <c r="I160" s="24">
        <f>ROUND(F160*AP160,2)</f>
        <v>0</v>
      </c>
      <c r="J160" s="24">
        <f>ROUND(F160*G160,2)</f>
        <v>0</v>
      </c>
      <c r="K160" s="25"/>
      <c r="Z160" s="24">
        <f>ROUND(IF(AQ160="5",BJ160,0),2)</f>
        <v>0</v>
      </c>
      <c r="AB160" s="24">
        <f>ROUND(IF(AQ160="1",BH160,0),2)</f>
        <v>0</v>
      </c>
      <c r="AC160" s="24">
        <f>ROUND(IF(AQ160="1",BI160,0),2)</f>
        <v>0</v>
      </c>
      <c r="AD160" s="24">
        <f>ROUND(IF(AQ160="7",BH160,0),2)</f>
        <v>0</v>
      </c>
      <c r="AE160" s="24">
        <f>ROUND(IF(AQ160="7",BI160,0),2)</f>
        <v>0</v>
      </c>
      <c r="AF160" s="24">
        <f>ROUND(IF(AQ160="2",BH160,0),2)</f>
        <v>0</v>
      </c>
      <c r="AG160" s="24">
        <f>ROUND(IF(AQ160="2",BI160,0),2)</f>
        <v>0</v>
      </c>
      <c r="AH160" s="24">
        <f>ROUND(IF(AQ160="0",BJ160,0),2)</f>
        <v>0</v>
      </c>
      <c r="AI160" s="10" t="s">
        <v>43</v>
      </c>
      <c r="AJ160" s="24">
        <f>IF(AN160=0,J160,0)</f>
        <v>0</v>
      </c>
      <c r="AK160" s="24">
        <f>IF(AN160=12,J160,0)</f>
        <v>0</v>
      </c>
      <c r="AL160" s="24">
        <f>IF(AN160=21,J160,0)</f>
        <v>0</v>
      </c>
      <c r="AN160" s="24">
        <v>21</v>
      </c>
      <c r="AO160" s="24">
        <f>G160*0</f>
        <v>0</v>
      </c>
      <c r="AP160" s="24">
        <f>G160*(1-0)</f>
        <v>0</v>
      </c>
      <c r="AQ160" s="26" t="s">
        <v>64</v>
      </c>
      <c r="AV160" s="24">
        <f>ROUND(AW160+AX160,2)</f>
        <v>0</v>
      </c>
      <c r="AW160" s="24">
        <f>ROUND(F160*AO160,2)</f>
        <v>0</v>
      </c>
      <c r="AX160" s="24">
        <f>ROUND(F160*AP160,2)</f>
        <v>0</v>
      </c>
      <c r="AY160" s="26" t="s">
        <v>491</v>
      </c>
      <c r="AZ160" s="26" t="s">
        <v>427</v>
      </c>
      <c r="BA160" s="10" t="s">
        <v>52</v>
      </c>
      <c r="BC160" s="24">
        <f>AW160+AX160</f>
        <v>0</v>
      </c>
      <c r="BD160" s="24">
        <f>G160/(100-BE160)*100</f>
        <v>0</v>
      </c>
      <c r="BE160" s="24">
        <v>0</v>
      </c>
      <c r="BF160" s="24">
        <f>157</f>
        <v>157</v>
      </c>
      <c r="BH160" s="24">
        <f>F160*AO160</f>
        <v>0</v>
      </c>
      <c r="BI160" s="24">
        <f>F160*AP160</f>
        <v>0</v>
      </c>
      <c r="BJ160" s="24">
        <f>F160*G160</f>
        <v>0</v>
      </c>
      <c r="BK160" s="26" t="s">
        <v>53</v>
      </c>
      <c r="BL160" s="24"/>
      <c r="BW160" s="24">
        <v>21</v>
      </c>
      <c r="BX160" s="4" t="s">
        <v>490</v>
      </c>
    </row>
    <row r="161" spans="1:76" ht="14.4" x14ac:dyDescent="0.3">
      <c r="A161" s="2" t="s">
        <v>492</v>
      </c>
      <c r="B161" s="3" t="s">
        <v>493</v>
      </c>
      <c r="C161" s="82" t="s">
        <v>494</v>
      </c>
      <c r="D161" s="81"/>
      <c r="E161" s="3" t="s">
        <v>261</v>
      </c>
      <c r="F161" s="24">
        <v>65.045000000000002</v>
      </c>
      <c r="G161" s="180">
        <v>0</v>
      </c>
      <c r="H161" s="24">
        <f>ROUND(F161*AO161,2)</f>
        <v>0</v>
      </c>
      <c r="I161" s="24">
        <f>ROUND(F161*AP161,2)</f>
        <v>0</v>
      </c>
      <c r="J161" s="24">
        <f>ROUND(F161*G161,2)</f>
        <v>0</v>
      </c>
      <c r="K161" s="25"/>
      <c r="Z161" s="24">
        <f>ROUND(IF(AQ161="5",BJ161,0),2)</f>
        <v>0</v>
      </c>
      <c r="AB161" s="24">
        <f>ROUND(IF(AQ161="1",BH161,0),2)</f>
        <v>0</v>
      </c>
      <c r="AC161" s="24">
        <f>ROUND(IF(AQ161="1",BI161,0),2)</f>
        <v>0</v>
      </c>
      <c r="AD161" s="24">
        <f>ROUND(IF(AQ161="7",BH161,0),2)</f>
        <v>0</v>
      </c>
      <c r="AE161" s="24">
        <f>ROUND(IF(AQ161="7",BI161,0),2)</f>
        <v>0</v>
      </c>
      <c r="AF161" s="24">
        <f>ROUND(IF(AQ161="2",BH161,0),2)</f>
        <v>0</v>
      </c>
      <c r="AG161" s="24">
        <f>ROUND(IF(AQ161="2",BI161,0),2)</f>
        <v>0</v>
      </c>
      <c r="AH161" s="24">
        <f>ROUND(IF(AQ161="0",BJ161,0),2)</f>
        <v>0</v>
      </c>
      <c r="AI161" s="10" t="s">
        <v>43</v>
      </c>
      <c r="AJ161" s="24">
        <f>IF(AN161=0,J161,0)</f>
        <v>0</v>
      </c>
      <c r="AK161" s="24">
        <f>IF(AN161=12,J161,0)</f>
        <v>0</v>
      </c>
      <c r="AL161" s="24">
        <f>IF(AN161=21,J161,0)</f>
        <v>0</v>
      </c>
      <c r="AN161" s="24">
        <v>21</v>
      </c>
      <c r="AO161" s="24">
        <f>G161*0</f>
        <v>0</v>
      </c>
      <c r="AP161" s="24">
        <f>G161*(1-0)</f>
        <v>0</v>
      </c>
      <c r="AQ161" s="26" t="s">
        <v>64</v>
      </c>
      <c r="AV161" s="24">
        <f>ROUND(AW161+AX161,2)</f>
        <v>0</v>
      </c>
      <c r="AW161" s="24">
        <f>ROUND(F161*AO161,2)</f>
        <v>0</v>
      </c>
      <c r="AX161" s="24">
        <f>ROUND(F161*AP161,2)</f>
        <v>0</v>
      </c>
      <c r="AY161" s="26" t="s">
        <v>491</v>
      </c>
      <c r="AZ161" s="26" t="s">
        <v>427</v>
      </c>
      <c r="BA161" s="10" t="s">
        <v>52</v>
      </c>
      <c r="BC161" s="24">
        <f>AW161+AX161</f>
        <v>0</v>
      </c>
      <c r="BD161" s="24">
        <f>G161/(100-BE161)*100</f>
        <v>0</v>
      </c>
      <c r="BE161" s="24">
        <v>0</v>
      </c>
      <c r="BF161" s="24">
        <f>158</f>
        <v>158</v>
      </c>
      <c r="BH161" s="24">
        <f>F161*AO161</f>
        <v>0</v>
      </c>
      <c r="BI161" s="24">
        <f>F161*AP161</f>
        <v>0</v>
      </c>
      <c r="BJ161" s="24">
        <f>F161*G161</f>
        <v>0</v>
      </c>
      <c r="BK161" s="26" t="s">
        <v>53</v>
      </c>
      <c r="BL161" s="24"/>
      <c r="BW161" s="24">
        <v>21</v>
      </c>
      <c r="BX161" s="4" t="s">
        <v>494</v>
      </c>
    </row>
    <row r="162" spans="1:76" ht="14.4" x14ac:dyDescent="0.3">
      <c r="A162" s="2" t="s">
        <v>495</v>
      </c>
      <c r="B162" s="3" t="s">
        <v>496</v>
      </c>
      <c r="C162" s="82" t="s">
        <v>497</v>
      </c>
      <c r="D162" s="81"/>
      <c r="E162" s="3" t="s">
        <v>261</v>
      </c>
      <c r="F162" s="24">
        <v>650.45000000000005</v>
      </c>
      <c r="G162" s="180">
        <v>0</v>
      </c>
      <c r="H162" s="24">
        <f>ROUND(F162*AO162,2)</f>
        <v>0</v>
      </c>
      <c r="I162" s="24">
        <f>ROUND(F162*AP162,2)</f>
        <v>0</v>
      </c>
      <c r="J162" s="24">
        <f>ROUND(F162*G162,2)</f>
        <v>0</v>
      </c>
      <c r="K162" s="25"/>
      <c r="Z162" s="24">
        <f>ROUND(IF(AQ162="5",BJ162,0),2)</f>
        <v>0</v>
      </c>
      <c r="AB162" s="24">
        <f>ROUND(IF(AQ162="1",BH162,0),2)</f>
        <v>0</v>
      </c>
      <c r="AC162" s="24">
        <f>ROUND(IF(AQ162="1",BI162,0),2)</f>
        <v>0</v>
      </c>
      <c r="AD162" s="24">
        <f>ROUND(IF(AQ162="7",BH162,0),2)</f>
        <v>0</v>
      </c>
      <c r="AE162" s="24">
        <f>ROUND(IF(AQ162="7",BI162,0),2)</f>
        <v>0</v>
      </c>
      <c r="AF162" s="24">
        <f>ROUND(IF(AQ162="2",BH162,0),2)</f>
        <v>0</v>
      </c>
      <c r="AG162" s="24">
        <f>ROUND(IF(AQ162="2",BI162,0),2)</f>
        <v>0</v>
      </c>
      <c r="AH162" s="24">
        <f>ROUND(IF(AQ162="0",BJ162,0),2)</f>
        <v>0</v>
      </c>
      <c r="AI162" s="10" t="s">
        <v>43</v>
      </c>
      <c r="AJ162" s="24">
        <f>IF(AN162=0,J162,0)</f>
        <v>0</v>
      </c>
      <c r="AK162" s="24">
        <f>IF(AN162=12,J162,0)</f>
        <v>0</v>
      </c>
      <c r="AL162" s="24">
        <f>IF(AN162=21,J162,0)</f>
        <v>0</v>
      </c>
      <c r="AN162" s="24">
        <v>21</v>
      </c>
      <c r="AO162" s="24">
        <f>G162*0</f>
        <v>0</v>
      </c>
      <c r="AP162" s="24">
        <f>G162*(1-0)</f>
        <v>0</v>
      </c>
      <c r="AQ162" s="26" t="s">
        <v>64</v>
      </c>
      <c r="AV162" s="24">
        <f>ROUND(AW162+AX162,2)</f>
        <v>0</v>
      </c>
      <c r="AW162" s="24">
        <f>ROUND(F162*AO162,2)</f>
        <v>0</v>
      </c>
      <c r="AX162" s="24">
        <f>ROUND(F162*AP162,2)</f>
        <v>0</v>
      </c>
      <c r="AY162" s="26" t="s">
        <v>491</v>
      </c>
      <c r="AZ162" s="26" t="s">
        <v>427</v>
      </c>
      <c r="BA162" s="10" t="s">
        <v>52</v>
      </c>
      <c r="BC162" s="24">
        <f>AW162+AX162</f>
        <v>0</v>
      </c>
      <c r="BD162" s="24">
        <f>G162/(100-BE162)*100</f>
        <v>0</v>
      </c>
      <c r="BE162" s="24">
        <v>0</v>
      </c>
      <c r="BF162" s="24">
        <f>159</f>
        <v>159</v>
      </c>
      <c r="BH162" s="24">
        <f>F162*AO162</f>
        <v>0</v>
      </c>
      <c r="BI162" s="24">
        <f>F162*AP162</f>
        <v>0</v>
      </c>
      <c r="BJ162" s="24">
        <f>F162*G162</f>
        <v>0</v>
      </c>
      <c r="BK162" s="26" t="s">
        <v>53</v>
      </c>
      <c r="BL162" s="24"/>
      <c r="BW162" s="24">
        <v>21</v>
      </c>
      <c r="BX162" s="4" t="s">
        <v>497</v>
      </c>
    </row>
    <row r="163" spans="1:76" ht="14.4" x14ac:dyDescent="0.3">
      <c r="A163" s="2" t="s">
        <v>498</v>
      </c>
      <c r="B163" s="3" t="s">
        <v>499</v>
      </c>
      <c r="C163" s="82" t="s">
        <v>500</v>
      </c>
      <c r="D163" s="81"/>
      <c r="E163" s="3" t="s">
        <v>193</v>
      </c>
      <c r="F163" s="24">
        <v>1</v>
      </c>
      <c r="G163" s="180">
        <v>0</v>
      </c>
      <c r="H163" s="24">
        <f>ROUND(F163*AO163,2)</f>
        <v>0</v>
      </c>
      <c r="I163" s="24">
        <f>ROUND(F163*AP163,2)</f>
        <v>0</v>
      </c>
      <c r="J163" s="24">
        <f>ROUND(F163*G163,2)</f>
        <v>0</v>
      </c>
      <c r="K163" s="25"/>
      <c r="Z163" s="24">
        <f>ROUND(IF(AQ163="5",BJ163,0),2)</f>
        <v>0</v>
      </c>
      <c r="AB163" s="24">
        <f>ROUND(IF(AQ163="1",BH163,0),2)</f>
        <v>0</v>
      </c>
      <c r="AC163" s="24">
        <f>ROUND(IF(AQ163="1",BI163,0),2)</f>
        <v>0</v>
      </c>
      <c r="AD163" s="24">
        <f>ROUND(IF(AQ163="7",BH163,0),2)</f>
        <v>0</v>
      </c>
      <c r="AE163" s="24">
        <f>ROUND(IF(AQ163="7",BI163,0),2)</f>
        <v>0</v>
      </c>
      <c r="AF163" s="24">
        <f>ROUND(IF(AQ163="2",BH163,0),2)</f>
        <v>0</v>
      </c>
      <c r="AG163" s="24">
        <f>ROUND(IF(AQ163="2",BI163,0),2)</f>
        <v>0</v>
      </c>
      <c r="AH163" s="24">
        <f>ROUND(IF(AQ163="0",BJ163,0),2)</f>
        <v>0</v>
      </c>
      <c r="AI163" s="10" t="s">
        <v>43</v>
      </c>
      <c r="AJ163" s="24">
        <f>IF(AN163=0,J163,0)</f>
        <v>0</v>
      </c>
      <c r="AK163" s="24">
        <f>IF(AN163=12,J163,0)</f>
        <v>0</v>
      </c>
      <c r="AL163" s="24">
        <f>IF(AN163=21,J163,0)</f>
        <v>0</v>
      </c>
      <c r="AN163" s="24">
        <v>21</v>
      </c>
      <c r="AO163" s="24">
        <f>G163*0</f>
        <v>0</v>
      </c>
      <c r="AP163" s="24">
        <f>G163*(1-0)</f>
        <v>0</v>
      </c>
      <c r="AQ163" s="26" t="s">
        <v>46</v>
      </c>
      <c r="AV163" s="24">
        <f>ROUND(AW163+AX163,2)</f>
        <v>0</v>
      </c>
      <c r="AW163" s="24">
        <f>ROUND(F163*AO163,2)</f>
        <v>0</v>
      </c>
      <c r="AX163" s="24">
        <f>ROUND(F163*AP163,2)</f>
        <v>0</v>
      </c>
      <c r="AY163" s="26" t="s">
        <v>491</v>
      </c>
      <c r="AZ163" s="26" t="s">
        <v>427</v>
      </c>
      <c r="BA163" s="10" t="s">
        <v>52</v>
      </c>
      <c r="BC163" s="24">
        <f>AW163+AX163</f>
        <v>0</v>
      </c>
      <c r="BD163" s="24">
        <f>G163/(100-BE163)*100</f>
        <v>0</v>
      </c>
      <c r="BE163" s="24">
        <v>0</v>
      </c>
      <c r="BF163" s="24">
        <f>160</f>
        <v>160</v>
      </c>
      <c r="BH163" s="24">
        <f>F163*AO163</f>
        <v>0</v>
      </c>
      <c r="BI163" s="24">
        <f>F163*AP163</f>
        <v>0</v>
      </c>
      <c r="BJ163" s="24">
        <f>F163*G163</f>
        <v>0</v>
      </c>
      <c r="BK163" s="26" t="s">
        <v>53</v>
      </c>
      <c r="BL163" s="24"/>
      <c r="BW163" s="24">
        <v>21</v>
      </c>
      <c r="BX163" s="4" t="s">
        <v>500</v>
      </c>
    </row>
    <row r="164" spans="1:76" ht="14.4" x14ac:dyDescent="0.3">
      <c r="A164" s="27" t="s">
        <v>43</v>
      </c>
      <c r="B164" s="28" t="s">
        <v>501</v>
      </c>
      <c r="C164" s="98" t="s">
        <v>502</v>
      </c>
      <c r="D164" s="99"/>
      <c r="E164" s="29" t="s">
        <v>3</v>
      </c>
      <c r="F164" s="29" t="s">
        <v>3</v>
      </c>
      <c r="G164" s="29" t="s">
        <v>3</v>
      </c>
      <c r="H164" s="1">
        <f>ROUND(SUM(H165:H172),2)</f>
        <v>0</v>
      </c>
      <c r="I164" s="1">
        <f>ROUND(SUM(I165:I172),2)</f>
        <v>0</v>
      </c>
      <c r="J164" s="1">
        <f>ROUND(SUM(J165:J172),2)</f>
        <v>0</v>
      </c>
      <c r="K164" s="30"/>
      <c r="AI164" s="10" t="s">
        <v>43</v>
      </c>
      <c r="AS164" s="1">
        <f>SUM(AJ165:AJ172)</f>
        <v>0</v>
      </c>
      <c r="AT164" s="1">
        <f>SUM(AK165:AK172)</f>
        <v>0</v>
      </c>
      <c r="AU164" s="1">
        <f>SUM(AL165:AL172)</f>
        <v>0</v>
      </c>
    </row>
    <row r="165" spans="1:76" ht="14.4" x14ac:dyDescent="0.3">
      <c r="A165" s="2" t="s">
        <v>503</v>
      </c>
      <c r="B165" s="3" t="s">
        <v>504</v>
      </c>
      <c r="C165" s="82" t="s">
        <v>505</v>
      </c>
      <c r="D165" s="81"/>
      <c r="E165" s="3" t="s">
        <v>261</v>
      </c>
      <c r="F165" s="24">
        <v>11.74</v>
      </c>
      <c r="G165" s="180">
        <v>0</v>
      </c>
      <c r="H165" s="24">
        <f t="shared" ref="H165:H172" si="226">ROUND(F165*AO165,2)</f>
        <v>0</v>
      </c>
      <c r="I165" s="24">
        <f t="shared" ref="I165:I172" si="227">ROUND(F165*AP165,2)</f>
        <v>0</v>
      </c>
      <c r="J165" s="24">
        <f t="shared" ref="J165:J172" si="228">ROUND(F165*G165,2)</f>
        <v>0</v>
      </c>
      <c r="K165" s="25"/>
      <c r="Z165" s="24">
        <f t="shared" ref="Z165:Z172" si="229">ROUND(IF(AQ165="5",BJ165,0),2)</f>
        <v>0</v>
      </c>
      <c r="AB165" s="24">
        <f t="shared" ref="AB165:AB172" si="230">ROUND(IF(AQ165="1",BH165,0),2)</f>
        <v>0</v>
      </c>
      <c r="AC165" s="24">
        <f t="shared" ref="AC165:AC172" si="231">ROUND(IF(AQ165="1",BI165,0),2)</f>
        <v>0</v>
      </c>
      <c r="AD165" s="24">
        <f t="shared" ref="AD165:AD172" si="232">ROUND(IF(AQ165="7",BH165,0),2)</f>
        <v>0</v>
      </c>
      <c r="AE165" s="24">
        <f t="shared" ref="AE165:AE172" si="233">ROUND(IF(AQ165="7",BI165,0),2)</f>
        <v>0</v>
      </c>
      <c r="AF165" s="24">
        <f t="shared" ref="AF165:AF172" si="234">ROUND(IF(AQ165="2",BH165,0),2)</f>
        <v>0</v>
      </c>
      <c r="AG165" s="24">
        <f t="shared" ref="AG165:AG172" si="235">ROUND(IF(AQ165="2",BI165,0),2)</f>
        <v>0</v>
      </c>
      <c r="AH165" s="24">
        <f t="shared" ref="AH165:AH172" si="236">ROUND(IF(AQ165="0",BJ165,0),2)</f>
        <v>0</v>
      </c>
      <c r="AI165" s="10" t="s">
        <v>43</v>
      </c>
      <c r="AJ165" s="24">
        <f t="shared" ref="AJ165:AJ172" si="237">IF(AN165=0,J165,0)</f>
        <v>0</v>
      </c>
      <c r="AK165" s="24">
        <f t="shared" ref="AK165:AK172" si="238">IF(AN165=12,J165,0)</f>
        <v>0</v>
      </c>
      <c r="AL165" s="24">
        <f t="shared" ref="AL165:AL172" si="239">IF(AN165=21,J165,0)</f>
        <v>0</v>
      </c>
      <c r="AN165" s="24">
        <v>21</v>
      </c>
      <c r="AO165" s="24">
        <f t="shared" ref="AO165:AO172" si="240">G165*0</f>
        <v>0</v>
      </c>
      <c r="AP165" s="24">
        <f t="shared" ref="AP165:AP172" si="241">G165*(1-0)</f>
        <v>0</v>
      </c>
      <c r="AQ165" s="26" t="s">
        <v>64</v>
      </c>
      <c r="AV165" s="24">
        <f t="shared" ref="AV165:AV172" si="242">ROUND(AW165+AX165,2)</f>
        <v>0</v>
      </c>
      <c r="AW165" s="24">
        <f t="shared" ref="AW165:AW172" si="243">ROUND(F165*AO165,2)</f>
        <v>0</v>
      </c>
      <c r="AX165" s="24">
        <f t="shared" ref="AX165:AX172" si="244">ROUND(F165*AP165,2)</f>
        <v>0</v>
      </c>
      <c r="AY165" s="26" t="s">
        <v>506</v>
      </c>
      <c r="AZ165" s="26" t="s">
        <v>427</v>
      </c>
      <c r="BA165" s="10" t="s">
        <v>52</v>
      </c>
      <c r="BC165" s="24">
        <f t="shared" ref="BC165:BC172" si="245">AW165+AX165</f>
        <v>0</v>
      </c>
      <c r="BD165" s="24">
        <f t="shared" ref="BD165:BD172" si="246">G165/(100-BE165)*100</f>
        <v>0</v>
      </c>
      <c r="BE165" s="24">
        <v>0</v>
      </c>
      <c r="BF165" s="24">
        <f>162</f>
        <v>162</v>
      </c>
      <c r="BH165" s="24">
        <f t="shared" ref="BH165:BH172" si="247">F165*AO165</f>
        <v>0</v>
      </c>
      <c r="BI165" s="24">
        <f t="shared" ref="BI165:BI172" si="248">F165*AP165</f>
        <v>0</v>
      </c>
      <c r="BJ165" s="24">
        <f t="shared" ref="BJ165:BJ172" si="249">F165*G165</f>
        <v>0</v>
      </c>
      <c r="BK165" s="26" t="s">
        <v>53</v>
      </c>
      <c r="BL165" s="24"/>
      <c r="BW165" s="24">
        <v>21</v>
      </c>
      <c r="BX165" s="4" t="s">
        <v>505</v>
      </c>
    </row>
    <row r="166" spans="1:76" ht="14.4" x14ac:dyDescent="0.3">
      <c r="A166" s="2" t="s">
        <v>507</v>
      </c>
      <c r="B166" s="3" t="s">
        <v>508</v>
      </c>
      <c r="C166" s="82" t="s">
        <v>509</v>
      </c>
      <c r="D166" s="81"/>
      <c r="E166" s="3" t="s">
        <v>261</v>
      </c>
      <c r="F166" s="24">
        <v>11.74</v>
      </c>
      <c r="G166" s="180">
        <v>0</v>
      </c>
      <c r="H166" s="24">
        <f t="shared" si="226"/>
        <v>0</v>
      </c>
      <c r="I166" s="24">
        <f t="shared" si="227"/>
        <v>0</v>
      </c>
      <c r="J166" s="24">
        <f t="shared" si="228"/>
        <v>0</v>
      </c>
      <c r="K166" s="25"/>
      <c r="Z166" s="24">
        <f t="shared" si="229"/>
        <v>0</v>
      </c>
      <c r="AB166" s="24">
        <f t="shared" si="230"/>
        <v>0</v>
      </c>
      <c r="AC166" s="24">
        <f t="shared" si="231"/>
        <v>0</v>
      </c>
      <c r="AD166" s="24">
        <f t="shared" si="232"/>
        <v>0</v>
      </c>
      <c r="AE166" s="24">
        <f t="shared" si="233"/>
        <v>0</v>
      </c>
      <c r="AF166" s="24">
        <f t="shared" si="234"/>
        <v>0</v>
      </c>
      <c r="AG166" s="24">
        <f t="shared" si="235"/>
        <v>0</v>
      </c>
      <c r="AH166" s="24">
        <f t="shared" si="236"/>
        <v>0</v>
      </c>
      <c r="AI166" s="10" t="s">
        <v>43</v>
      </c>
      <c r="AJ166" s="24">
        <f t="shared" si="237"/>
        <v>0</v>
      </c>
      <c r="AK166" s="24">
        <f t="shared" si="238"/>
        <v>0</v>
      </c>
      <c r="AL166" s="24">
        <f t="shared" si="239"/>
        <v>0</v>
      </c>
      <c r="AN166" s="24">
        <v>21</v>
      </c>
      <c r="AO166" s="24">
        <f t="shared" si="240"/>
        <v>0</v>
      </c>
      <c r="AP166" s="24">
        <f t="shared" si="241"/>
        <v>0</v>
      </c>
      <c r="AQ166" s="26" t="s">
        <v>64</v>
      </c>
      <c r="AV166" s="24">
        <f t="shared" si="242"/>
        <v>0</v>
      </c>
      <c r="AW166" s="24">
        <f t="shared" si="243"/>
        <v>0</v>
      </c>
      <c r="AX166" s="24">
        <f t="shared" si="244"/>
        <v>0</v>
      </c>
      <c r="AY166" s="26" t="s">
        <v>506</v>
      </c>
      <c r="AZ166" s="26" t="s">
        <v>427</v>
      </c>
      <c r="BA166" s="10" t="s">
        <v>52</v>
      </c>
      <c r="BC166" s="24">
        <f t="shared" si="245"/>
        <v>0</v>
      </c>
      <c r="BD166" s="24">
        <f t="shared" si="246"/>
        <v>0</v>
      </c>
      <c r="BE166" s="24">
        <v>0</v>
      </c>
      <c r="BF166" s="24">
        <f>163</f>
        <v>163</v>
      </c>
      <c r="BH166" s="24">
        <f t="shared" si="247"/>
        <v>0</v>
      </c>
      <c r="BI166" s="24">
        <f t="shared" si="248"/>
        <v>0</v>
      </c>
      <c r="BJ166" s="24">
        <f t="shared" si="249"/>
        <v>0</v>
      </c>
      <c r="BK166" s="26" t="s">
        <v>53</v>
      </c>
      <c r="BL166" s="24"/>
      <c r="BW166" s="24">
        <v>21</v>
      </c>
      <c r="BX166" s="4" t="s">
        <v>509</v>
      </c>
    </row>
    <row r="167" spans="1:76" ht="14.4" x14ac:dyDescent="0.3">
      <c r="A167" s="2" t="s">
        <v>510</v>
      </c>
      <c r="B167" s="3" t="s">
        <v>511</v>
      </c>
      <c r="C167" s="82" t="s">
        <v>512</v>
      </c>
      <c r="D167" s="81"/>
      <c r="E167" s="3" t="s">
        <v>261</v>
      </c>
      <c r="F167" s="24">
        <v>11.74</v>
      </c>
      <c r="G167" s="180">
        <v>0</v>
      </c>
      <c r="H167" s="24">
        <f t="shared" si="226"/>
        <v>0</v>
      </c>
      <c r="I167" s="24">
        <f t="shared" si="227"/>
        <v>0</v>
      </c>
      <c r="J167" s="24">
        <f t="shared" si="228"/>
        <v>0</v>
      </c>
      <c r="K167" s="25"/>
      <c r="Z167" s="24">
        <f t="shared" si="229"/>
        <v>0</v>
      </c>
      <c r="AB167" s="24">
        <f t="shared" si="230"/>
        <v>0</v>
      </c>
      <c r="AC167" s="24">
        <f t="shared" si="231"/>
        <v>0</v>
      </c>
      <c r="AD167" s="24">
        <f t="shared" si="232"/>
        <v>0</v>
      </c>
      <c r="AE167" s="24">
        <f t="shared" si="233"/>
        <v>0</v>
      </c>
      <c r="AF167" s="24">
        <f t="shared" si="234"/>
        <v>0</v>
      </c>
      <c r="AG167" s="24">
        <f t="shared" si="235"/>
        <v>0</v>
      </c>
      <c r="AH167" s="24">
        <f t="shared" si="236"/>
        <v>0</v>
      </c>
      <c r="AI167" s="10" t="s">
        <v>43</v>
      </c>
      <c r="AJ167" s="24">
        <f t="shared" si="237"/>
        <v>0</v>
      </c>
      <c r="AK167" s="24">
        <f t="shared" si="238"/>
        <v>0</v>
      </c>
      <c r="AL167" s="24">
        <f t="shared" si="239"/>
        <v>0</v>
      </c>
      <c r="AN167" s="24">
        <v>21</v>
      </c>
      <c r="AO167" s="24">
        <f t="shared" si="240"/>
        <v>0</v>
      </c>
      <c r="AP167" s="24">
        <f t="shared" si="241"/>
        <v>0</v>
      </c>
      <c r="AQ167" s="26" t="s">
        <v>64</v>
      </c>
      <c r="AV167" s="24">
        <f t="shared" si="242"/>
        <v>0</v>
      </c>
      <c r="AW167" s="24">
        <f t="shared" si="243"/>
        <v>0</v>
      </c>
      <c r="AX167" s="24">
        <f t="shared" si="244"/>
        <v>0</v>
      </c>
      <c r="AY167" s="26" t="s">
        <v>506</v>
      </c>
      <c r="AZ167" s="26" t="s">
        <v>427</v>
      </c>
      <c r="BA167" s="10" t="s">
        <v>52</v>
      </c>
      <c r="BC167" s="24">
        <f t="shared" si="245"/>
        <v>0</v>
      </c>
      <c r="BD167" s="24">
        <f t="shared" si="246"/>
        <v>0</v>
      </c>
      <c r="BE167" s="24">
        <v>0</v>
      </c>
      <c r="BF167" s="24">
        <f>164</f>
        <v>164</v>
      </c>
      <c r="BH167" s="24">
        <f t="shared" si="247"/>
        <v>0</v>
      </c>
      <c r="BI167" s="24">
        <f t="shared" si="248"/>
        <v>0</v>
      </c>
      <c r="BJ167" s="24">
        <f t="shared" si="249"/>
        <v>0</v>
      </c>
      <c r="BK167" s="26" t="s">
        <v>53</v>
      </c>
      <c r="BL167" s="24"/>
      <c r="BW167" s="24">
        <v>21</v>
      </c>
      <c r="BX167" s="4" t="s">
        <v>512</v>
      </c>
    </row>
    <row r="168" spans="1:76" ht="14.4" x14ac:dyDescent="0.3">
      <c r="A168" s="2" t="s">
        <v>513</v>
      </c>
      <c r="B168" s="3" t="s">
        <v>514</v>
      </c>
      <c r="C168" s="82" t="s">
        <v>515</v>
      </c>
      <c r="D168" s="81"/>
      <c r="E168" s="3" t="s">
        <v>261</v>
      </c>
      <c r="F168" s="24">
        <v>11.74</v>
      </c>
      <c r="G168" s="180">
        <v>0</v>
      </c>
      <c r="H168" s="24">
        <f t="shared" si="226"/>
        <v>0</v>
      </c>
      <c r="I168" s="24">
        <f t="shared" si="227"/>
        <v>0</v>
      </c>
      <c r="J168" s="24">
        <f t="shared" si="228"/>
        <v>0</v>
      </c>
      <c r="K168" s="25"/>
      <c r="Z168" s="24">
        <f t="shared" si="229"/>
        <v>0</v>
      </c>
      <c r="AB168" s="24">
        <f t="shared" si="230"/>
        <v>0</v>
      </c>
      <c r="AC168" s="24">
        <f t="shared" si="231"/>
        <v>0</v>
      </c>
      <c r="AD168" s="24">
        <f t="shared" si="232"/>
        <v>0</v>
      </c>
      <c r="AE168" s="24">
        <f t="shared" si="233"/>
        <v>0</v>
      </c>
      <c r="AF168" s="24">
        <f t="shared" si="234"/>
        <v>0</v>
      </c>
      <c r="AG168" s="24">
        <f t="shared" si="235"/>
        <v>0</v>
      </c>
      <c r="AH168" s="24">
        <f t="shared" si="236"/>
        <v>0</v>
      </c>
      <c r="AI168" s="10" t="s">
        <v>43</v>
      </c>
      <c r="AJ168" s="24">
        <f t="shared" si="237"/>
        <v>0</v>
      </c>
      <c r="AK168" s="24">
        <f t="shared" si="238"/>
        <v>0</v>
      </c>
      <c r="AL168" s="24">
        <f t="shared" si="239"/>
        <v>0</v>
      </c>
      <c r="AN168" s="24">
        <v>21</v>
      </c>
      <c r="AO168" s="24">
        <f t="shared" si="240"/>
        <v>0</v>
      </c>
      <c r="AP168" s="24">
        <f t="shared" si="241"/>
        <v>0</v>
      </c>
      <c r="AQ168" s="26" t="s">
        <v>64</v>
      </c>
      <c r="AV168" s="24">
        <f t="shared" si="242"/>
        <v>0</v>
      </c>
      <c r="AW168" s="24">
        <f t="shared" si="243"/>
        <v>0</v>
      </c>
      <c r="AX168" s="24">
        <f t="shared" si="244"/>
        <v>0</v>
      </c>
      <c r="AY168" s="26" t="s">
        <v>506</v>
      </c>
      <c r="AZ168" s="26" t="s">
        <v>427</v>
      </c>
      <c r="BA168" s="10" t="s">
        <v>52</v>
      </c>
      <c r="BC168" s="24">
        <f t="shared" si="245"/>
        <v>0</v>
      </c>
      <c r="BD168" s="24">
        <f t="shared" si="246"/>
        <v>0</v>
      </c>
      <c r="BE168" s="24">
        <v>0</v>
      </c>
      <c r="BF168" s="24">
        <f>165</f>
        <v>165</v>
      </c>
      <c r="BH168" s="24">
        <f t="shared" si="247"/>
        <v>0</v>
      </c>
      <c r="BI168" s="24">
        <f t="shared" si="248"/>
        <v>0</v>
      </c>
      <c r="BJ168" s="24">
        <f t="shared" si="249"/>
        <v>0</v>
      </c>
      <c r="BK168" s="26" t="s">
        <v>53</v>
      </c>
      <c r="BL168" s="24"/>
      <c r="BW168" s="24">
        <v>21</v>
      </c>
      <c r="BX168" s="4" t="s">
        <v>515</v>
      </c>
    </row>
    <row r="169" spans="1:76" ht="14.4" x14ac:dyDescent="0.3">
      <c r="A169" s="2" t="s">
        <v>516</v>
      </c>
      <c r="B169" s="3" t="s">
        <v>517</v>
      </c>
      <c r="C169" s="82" t="s">
        <v>518</v>
      </c>
      <c r="D169" s="81"/>
      <c r="E169" s="3" t="s">
        <v>261</v>
      </c>
      <c r="F169" s="24">
        <v>211.32</v>
      </c>
      <c r="G169" s="180">
        <v>0</v>
      </c>
      <c r="H169" s="24">
        <f t="shared" si="226"/>
        <v>0</v>
      </c>
      <c r="I169" s="24">
        <f t="shared" si="227"/>
        <v>0</v>
      </c>
      <c r="J169" s="24">
        <f t="shared" si="228"/>
        <v>0</v>
      </c>
      <c r="K169" s="25"/>
      <c r="Z169" s="24">
        <f t="shared" si="229"/>
        <v>0</v>
      </c>
      <c r="AB169" s="24">
        <f t="shared" si="230"/>
        <v>0</v>
      </c>
      <c r="AC169" s="24">
        <f t="shared" si="231"/>
        <v>0</v>
      </c>
      <c r="AD169" s="24">
        <f t="shared" si="232"/>
        <v>0</v>
      </c>
      <c r="AE169" s="24">
        <f t="shared" si="233"/>
        <v>0</v>
      </c>
      <c r="AF169" s="24">
        <f t="shared" si="234"/>
        <v>0</v>
      </c>
      <c r="AG169" s="24">
        <f t="shared" si="235"/>
        <v>0</v>
      </c>
      <c r="AH169" s="24">
        <f t="shared" si="236"/>
        <v>0</v>
      </c>
      <c r="AI169" s="10" t="s">
        <v>43</v>
      </c>
      <c r="AJ169" s="24">
        <f t="shared" si="237"/>
        <v>0</v>
      </c>
      <c r="AK169" s="24">
        <f t="shared" si="238"/>
        <v>0</v>
      </c>
      <c r="AL169" s="24">
        <f t="shared" si="239"/>
        <v>0</v>
      </c>
      <c r="AN169" s="24">
        <v>21</v>
      </c>
      <c r="AO169" s="24">
        <f t="shared" si="240"/>
        <v>0</v>
      </c>
      <c r="AP169" s="24">
        <f t="shared" si="241"/>
        <v>0</v>
      </c>
      <c r="AQ169" s="26" t="s">
        <v>64</v>
      </c>
      <c r="AV169" s="24">
        <f t="shared" si="242"/>
        <v>0</v>
      </c>
      <c r="AW169" s="24">
        <f t="shared" si="243"/>
        <v>0</v>
      </c>
      <c r="AX169" s="24">
        <f t="shared" si="244"/>
        <v>0</v>
      </c>
      <c r="AY169" s="26" t="s">
        <v>506</v>
      </c>
      <c r="AZ169" s="26" t="s">
        <v>427</v>
      </c>
      <c r="BA169" s="10" t="s">
        <v>52</v>
      </c>
      <c r="BC169" s="24">
        <f t="shared" si="245"/>
        <v>0</v>
      </c>
      <c r="BD169" s="24">
        <f t="shared" si="246"/>
        <v>0</v>
      </c>
      <c r="BE169" s="24">
        <v>0</v>
      </c>
      <c r="BF169" s="24">
        <f>166</f>
        <v>166</v>
      </c>
      <c r="BH169" s="24">
        <f t="shared" si="247"/>
        <v>0</v>
      </c>
      <c r="BI169" s="24">
        <f t="shared" si="248"/>
        <v>0</v>
      </c>
      <c r="BJ169" s="24">
        <f t="shared" si="249"/>
        <v>0</v>
      </c>
      <c r="BK169" s="26" t="s">
        <v>53</v>
      </c>
      <c r="BL169" s="24"/>
      <c r="BW169" s="24">
        <v>21</v>
      </c>
      <c r="BX169" s="4" t="s">
        <v>518</v>
      </c>
    </row>
    <row r="170" spans="1:76" ht="14.4" x14ac:dyDescent="0.3">
      <c r="A170" s="2" t="s">
        <v>519</v>
      </c>
      <c r="B170" s="3" t="s">
        <v>520</v>
      </c>
      <c r="C170" s="82" t="s">
        <v>521</v>
      </c>
      <c r="D170" s="81"/>
      <c r="E170" s="3" t="s">
        <v>60</v>
      </c>
      <c r="F170" s="24">
        <v>25</v>
      </c>
      <c r="G170" s="180">
        <v>0</v>
      </c>
      <c r="H170" s="24">
        <f t="shared" si="226"/>
        <v>0</v>
      </c>
      <c r="I170" s="24">
        <f t="shared" si="227"/>
        <v>0</v>
      </c>
      <c r="J170" s="24">
        <f t="shared" si="228"/>
        <v>0</v>
      </c>
      <c r="K170" s="25"/>
      <c r="Z170" s="24">
        <f t="shared" si="229"/>
        <v>0</v>
      </c>
      <c r="AB170" s="24">
        <f t="shared" si="230"/>
        <v>0</v>
      </c>
      <c r="AC170" s="24">
        <f t="shared" si="231"/>
        <v>0</v>
      </c>
      <c r="AD170" s="24">
        <f t="shared" si="232"/>
        <v>0</v>
      </c>
      <c r="AE170" s="24">
        <f t="shared" si="233"/>
        <v>0</v>
      </c>
      <c r="AF170" s="24">
        <f t="shared" si="234"/>
        <v>0</v>
      </c>
      <c r="AG170" s="24">
        <f t="shared" si="235"/>
        <v>0</v>
      </c>
      <c r="AH170" s="24">
        <f t="shared" si="236"/>
        <v>0</v>
      </c>
      <c r="AI170" s="10" t="s">
        <v>43</v>
      </c>
      <c r="AJ170" s="24">
        <f t="shared" si="237"/>
        <v>0</v>
      </c>
      <c r="AK170" s="24">
        <f t="shared" si="238"/>
        <v>0</v>
      </c>
      <c r="AL170" s="24">
        <f t="shared" si="239"/>
        <v>0</v>
      </c>
      <c r="AN170" s="24">
        <v>21</v>
      </c>
      <c r="AO170" s="24">
        <f t="shared" si="240"/>
        <v>0</v>
      </c>
      <c r="AP170" s="24">
        <f t="shared" si="241"/>
        <v>0</v>
      </c>
      <c r="AQ170" s="26" t="s">
        <v>46</v>
      </c>
      <c r="AV170" s="24">
        <f t="shared" si="242"/>
        <v>0</v>
      </c>
      <c r="AW170" s="24">
        <f t="shared" si="243"/>
        <v>0</v>
      </c>
      <c r="AX170" s="24">
        <f t="shared" si="244"/>
        <v>0</v>
      </c>
      <c r="AY170" s="26" t="s">
        <v>506</v>
      </c>
      <c r="AZ170" s="26" t="s">
        <v>427</v>
      </c>
      <c r="BA170" s="10" t="s">
        <v>52</v>
      </c>
      <c r="BC170" s="24">
        <f t="shared" si="245"/>
        <v>0</v>
      </c>
      <c r="BD170" s="24">
        <f t="shared" si="246"/>
        <v>0</v>
      </c>
      <c r="BE170" s="24">
        <v>0</v>
      </c>
      <c r="BF170" s="24">
        <f>167</f>
        <v>167</v>
      </c>
      <c r="BH170" s="24">
        <f t="shared" si="247"/>
        <v>0</v>
      </c>
      <c r="BI170" s="24">
        <f t="shared" si="248"/>
        <v>0</v>
      </c>
      <c r="BJ170" s="24">
        <f t="shared" si="249"/>
        <v>0</v>
      </c>
      <c r="BK170" s="26" t="s">
        <v>53</v>
      </c>
      <c r="BL170" s="24"/>
      <c r="BW170" s="24">
        <v>21</v>
      </c>
      <c r="BX170" s="4" t="s">
        <v>521</v>
      </c>
    </row>
    <row r="171" spans="1:76" ht="14.4" x14ac:dyDescent="0.3">
      <c r="A171" s="2" t="s">
        <v>522</v>
      </c>
      <c r="B171" s="3" t="s">
        <v>523</v>
      </c>
      <c r="C171" s="82" t="s">
        <v>524</v>
      </c>
      <c r="D171" s="81"/>
      <c r="E171" s="3" t="s">
        <v>261</v>
      </c>
      <c r="F171" s="24">
        <v>8.4749999999999996</v>
      </c>
      <c r="G171" s="180">
        <v>0</v>
      </c>
      <c r="H171" s="24">
        <f t="shared" si="226"/>
        <v>0</v>
      </c>
      <c r="I171" s="24">
        <f t="shared" si="227"/>
        <v>0</v>
      </c>
      <c r="J171" s="24">
        <f t="shared" si="228"/>
        <v>0</v>
      </c>
      <c r="K171" s="25"/>
      <c r="Z171" s="24">
        <f t="shared" si="229"/>
        <v>0</v>
      </c>
      <c r="AB171" s="24">
        <f t="shared" si="230"/>
        <v>0</v>
      </c>
      <c r="AC171" s="24">
        <f t="shared" si="231"/>
        <v>0</v>
      </c>
      <c r="AD171" s="24">
        <f t="shared" si="232"/>
        <v>0</v>
      </c>
      <c r="AE171" s="24">
        <f t="shared" si="233"/>
        <v>0</v>
      </c>
      <c r="AF171" s="24">
        <f t="shared" si="234"/>
        <v>0</v>
      </c>
      <c r="AG171" s="24">
        <f t="shared" si="235"/>
        <v>0</v>
      </c>
      <c r="AH171" s="24">
        <f t="shared" si="236"/>
        <v>0</v>
      </c>
      <c r="AI171" s="10" t="s">
        <v>43</v>
      </c>
      <c r="AJ171" s="24">
        <f t="shared" si="237"/>
        <v>0</v>
      </c>
      <c r="AK171" s="24">
        <f t="shared" si="238"/>
        <v>0</v>
      </c>
      <c r="AL171" s="24">
        <f t="shared" si="239"/>
        <v>0</v>
      </c>
      <c r="AN171" s="24">
        <v>21</v>
      </c>
      <c r="AO171" s="24">
        <f t="shared" si="240"/>
        <v>0</v>
      </c>
      <c r="AP171" s="24">
        <f t="shared" si="241"/>
        <v>0</v>
      </c>
      <c r="AQ171" s="26" t="s">
        <v>64</v>
      </c>
      <c r="AV171" s="24">
        <f t="shared" si="242"/>
        <v>0</v>
      </c>
      <c r="AW171" s="24">
        <f t="shared" si="243"/>
        <v>0</v>
      </c>
      <c r="AX171" s="24">
        <f t="shared" si="244"/>
        <v>0</v>
      </c>
      <c r="AY171" s="26" t="s">
        <v>506</v>
      </c>
      <c r="AZ171" s="26" t="s">
        <v>427</v>
      </c>
      <c r="BA171" s="10" t="s">
        <v>52</v>
      </c>
      <c r="BC171" s="24">
        <f t="shared" si="245"/>
        <v>0</v>
      </c>
      <c r="BD171" s="24">
        <f t="shared" si="246"/>
        <v>0</v>
      </c>
      <c r="BE171" s="24">
        <v>0</v>
      </c>
      <c r="BF171" s="24">
        <f>168</f>
        <v>168</v>
      </c>
      <c r="BH171" s="24">
        <f t="shared" si="247"/>
        <v>0</v>
      </c>
      <c r="BI171" s="24">
        <f t="shared" si="248"/>
        <v>0</v>
      </c>
      <c r="BJ171" s="24">
        <f t="shared" si="249"/>
        <v>0</v>
      </c>
      <c r="BK171" s="26" t="s">
        <v>53</v>
      </c>
      <c r="BL171" s="24"/>
      <c r="BW171" s="24">
        <v>21</v>
      </c>
      <c r="BX171" s="4" t="s">
        <v>524</v>
      </c>
    </row>
    <row r="172" spans="1:76" ht="14.4" x14ac:dyDescent="0.3">
      <c r="A172" s="2" t="s">
        <v>525</v>
      </c>
      <c r="B172" s="3" t="s">
        <v>526</v>
      </c>
      <c r="C172" s="82" t="s">
        <v>527</v>
      </c>
      <c r="D172" s="81"/>
      <c r="E172" s="3" t="s">
        <v>261</v>
      </c>
      <c r="F172" s="24">
        <v>3.2650000000000001</v>
      </c>
      <c r="G172" s="180">
        <v>0</v>
      </c>
      <c r="H172" s="24">
        <f t="shared" si="226"/>
        <v>0</v>
      </c>
      <c r="I172" s="24">
        <f t="shared" si="227"/>
        <v>0</v>
      </c>
      <c r="J172" s="24">
        <f t="shared" si="228"/>
        <v>0</v>
      </c>
      <c r="K172" s="25"/>
      <c r="Z172" s="24">
        <f t="shared" si="229"/>
        <v>0</v>
      </c>
      <c r="AB172" s="24">
        <f t="shared" si="230"/>
        <v>0</v>
      </c>
      <c r="AC172" s="24">
        <f t="shared" si="231"/>
        <v>0</v>
      </c>
      <c r="AD172" s="24">
        <f t="shared" si="232"/>
        <v>0</v>
      </c>
      <c r="AE172" s="24">
        <f t="shared" si="233"/>
        <v>0</v>
      </c>
      <c r="AF172" s="24">
        <f t="shared" si="234"/>
        <v>0</v>
      </c>
      <c r="AG172" s="24">
        <f t="shared" si="235"/>
        <v>0</v>
      </c>
      <c r="AH172" s="24">
        <f t="shared" si="236"/>
        <v>0</v>
      </c>
      <c r="AI172" s="10" t="s">
        <v>43</v>
      </c>
      <c r="AJ172" s="24">
        <f t="shared" si="237"/>
        <v>0</v>
      </c>
      <c r="AK172" s="24">
        <f t="shared" si="238"/>
        <v>0</v>
      </c>
      <c r="AL172" s="24">
        <f t="shared" si="239"/>
        <v>0</v>
      </c>
      <c r="AN172" s="24">
        <v>21</v>
      </c>
      <c r="AO172" s="24">
        <f t="shared" si="240"/>
        <v>0</v>
      </c>
      <c r="AP172" s="24">
        <f t="shared" si="241"/>
        <v>0</v>
      </c>
      <c r="AQ172" s="26" t="s">
        <v>64</v>
      </c>
      <c r="AV172" s="24">
        <f t="shared" si="242"/>
        <v>0</v>
      </c>
      <c r="AW172" s="24">
        <f t="shared" si="243"/>
        <v>0</v>
      </c>
      <c r="AX172" s="24">
        <f t="shared" si="244"/>
        <v>0</v>
      </c>
      <c r="AY172" s="26" t="s">
        <v>506</v>
      </c>
      <c r="AZ172" s="26" t="s">
        <v>427</v>
      </c>
      <c r="BA172" s="10" t="s">
        <v>52</v>
      </c>
      <c r="BC172" s="24">
        <f t="shared" si="245"/>
        <v>0</v>
      </c>
      <c r="BD172" s="24">
        <f t="shared" si="246"/>
        <v>0</v>
      </c>
      <c r="BE172" s="24">
        <v>0</v>
      </c>
      <c r="BF172" s="24">
        <f>169</f>
        <v>169</v>
      </c>
      <c r="BH172" s="24">
        <f t="shared" si="247"/>
        <v>0</v>
      </c>
      <c r="BI172" s="24">
        <f t="shared" si="248"/>
        <v>0</v>
      </c>
      <c r="BJ172" s="24">
        <f t="shared" si="249"/>
        <v>0</v>
      </c>
      <c r="BK172" s="26" t="s">
        <v>53</v>
      </c>
      <c r="BL172" s="24"/>
      <c r="BW172" s="24">
        <v>21</v>
      </c>
      <c r="BX172" s="4" t="s">
        <v>527</v>
      </c>
    </row>
    <row r="173" spans="1:76" ht="14.4" x14ac:dyDescent="0.3">
      <c r="A173" s="27" t="s">
        <v>43</v>
      </c>
      <c r="B173" s="28" t="s">
        <v>528</v>
      </c>
      <c r="C173" s="98" t="s">
        <v>529</v>
      </c>
      <c r="D173" s="99"/>
      <c r="E173" s="29" t="s">
        <v>3</v>
      </c>
      <c r="F173" s="29" t="s">
        <v>3</v>
      </c>
      <c r="G173" s="29" t="s">
        <v>3</v>
      </c>
      <c r="H173" s="1">
        <f>ROUND(SUM(H174:H188),2)</f>
        <v>0</v>
      </c>
      <c r="I173" s="1">
        <f>ROUND(SUM(I174:I188),2)</f>
        <v>0</v>
      </c>
      <c r="J173" s="1">
        <f>ROUND(SUM(J174:J188),2)</f>
        <v>0</v>
      </c>
      <c r="K173" s="30"/>
      <c r="AI173" s="10" t="s">
        <v>43</v>
      </c>
      <c r="AS173" s="1">
        <f>SUM(AJ174:AJ188)</f>
        <v>0</v>
      </c>
      <c r="AT173" s="1">
        <f>SUM(AK174:AK188)</f>
        <v>0</v>
      </c>
      <c r="AU173" s="1">
        <f>SUM(AL174:AL188)</f>
        <v>0</v>
      </c>
    </row>
    <row r="174" spans="1:76" ht="26.4" x14ac:dyDescent="0.3">
      <c r="A174" s="2" t="s">
        <v>530</v>
      </c>
      <c r="B174" s="3" t="s">
        <v>531</v>
      </c>
      <c r="C174" s="82" t="s">
        <v>532</v>
      </c>
      <c r="D174" s="81"/>
      <c r="E174" s="3" t="s">
        <v>174</v>
      </c>
      <c r="F174" s="24">
        <v>1</v>
      </c>
      <c r="G174" s="180">
        <v>0</v>
      </c>
      <c r="H174" s="24">
        <f t="shared" ref="H174:H188" si="250">ROUND(F174*AO174,2)</f>
        <v>0</v>
      </c>
      <c r="I174" s="24">
        <f t="shared" ref="I174:I188" si="251">ROUND(F174*AP174,2)</f>
        <v>0</v>
      </c>
      <c r="J174" s="24">
        <f t="shared" ref="J174:J188" si="252">ROUND(F174*G174,2)</f>
        <v>0</v>
      </c>
      <c r="K174" s="25"/>
      <c r="Z174" s="24">
        <f t="shared" ref="Z174:Z188" si="253">ROUND(IF(AQ174="5",BJ174,0),2)</f>
        <v>0</v>
      </c>
      <c r="AB174" s="24">
        <f t="shared" ref="AB174:AB188" si="254">ROUND(IF(AQ174="1",BH174,0),2)</f>
        <v>0</v>
      </c>
      <c r="AC174" s="24">
        <f t="shared" ref="AC174:AC188" si="255">ROUND(IF(AQ174="1",BI174,0),2)</f>
        <v>0</v>
      </c>
      <c r="AD174" s="24">
        <f t="shared" ref="AD174:AD188" si="256">ROUND(IF(AQ174="7",BH174,0),2)</f>
        <v>0</v>
      </c>
      <c r="AE174" s="24">
        <f t="shared" ref="AE174:AE188" si="257">ROUND(IF(AQ174="7",BI174,0),2)</f>
        <v>0</v>
      </c>
      <c r="AF174" s="24">
        <f t="shared" ref="AF174:AF188" si="258">ROUND(IF(AQ174="2",BH174,0),2)</f>
        <v>0</v>
      </c>
      <c r="AG174" s="24">
        <f t="shared" ref="AG174:AG188" si="259">ROUND(IF(AQ174="2",BI174,0),2)</f>
        <v>0</v>
      </c>
      <c r="AH174" s="24">
        <f t="shared" ref="AH174:AH188" si="260">ROUND(IF(AQ174="0",BJ174,0),2)</f>
        <v>0</v>
      </c>
      <c r="AI174" s="10" t="s">
        <v>43</v>
      </c>
      <c r="AJ174" s="24">
        <f t="shared" ref="AJ174:AJ188" si="261">IF(AN174=0,J174,0)</f>
        <v>0</v>
      </c>
      <c r="AK174" s="24">
        <f t="shared" ref="AK174:AK188" si="262">IF(AN174=12,J174,0)</f>
        <v>0</v>
      </c>
      <c r="AL174" s="24">
        <f t="shared" ref="AL174:AL188" si="263">IF(AN174=21,J174,0)</f>
        <v>0</v>
      </c>
      <c r="AN174" s="24">
        <v>21</v>
      </c>
      <c r="AO174" s="24">
        <f>G174*0.869565217</f>
        <v>0</v>
      </c>
      <c r="AP174" s="24">
        <f>G174*(1-0.869565217)</f>
        <v>0</v>
      </c>
      <c r="AQ174" s="26" t="s">
        <v>46</v>
      </c>
      <c r="AV174" s="24">
        <f t="shared" ref="AV174:AV188" si="264">ROUND(AW174+AX174,2)</f>
        <v>0</v>
      </c>
      <c r="AW174" s="24">
        <f t="shared" ref="AW174:AW188" si="265">ROUND(F174*AO174,2)</f>
        <v>0</v>
      </c>
      <c r="AX174" s="24">
        <f t="shared" ref="AX174:AX188" si="266">ROUND(F174*AP174,2)</f>
        <v>0</v>
      </c>
      <c r="AY174" s="26" t="s">
        <v>533</v>
      </c>
      <c r="AZ174" s="26" t="s">
        <v>427</v>
      </c>
      <c r="BA174" s="10" t="s">
        <v>52</v>
      </c>
      <c r="BC174" s="24">
        <f t="shared" ref="BC174:BC188" si="267">AW174+AX174</f>
        <v>0</v>
      </c>
      <c r="BD174" s="24">
        <f t="shared" ref="BD174:BD188" si="268">G174/(100-BE174)*100</f>
        <v>0</v>
      </c>
      <c r="BE174" s="24">
        <v>0</v>
      </c>
      <c r="BF174" s="24">
        <f>171</f>
        <v>171</v>
      </c>
      <c r="BH174" s="24">
        <f t="shared" ref="BH174:BH188" si="269">F174*AO174</f>
        <v>0</v>
      </c>
      <c r="BI174" s="24">
        <f t="shared" ref="BI174:BI188" si="270">F174*AP174</f>
        <v>0</v>
      </c>
      <c r="BJ174" s="24">
        <f t="shared" ref="BJ174:BJ188" si="271">F174*G174</f>
        <v>0</v>
      </c>
      <c r="BK174" s="26" t="s">
        <v>53</v>
      </c>
      <c r="BL174" s="24"/>
      <c r="BW174" s="24">
        <v>21</v>
      </c>
      <c r="BX174" s="4" t="s">
        <v>532</v>
      </c>
    </row>
    <row r="175" spans="1:76" ht="14.4" x14ac:dyDescent="0.3">
      <c r="A175" s="2" t="s">
        <v>534</v>
      </c>
      <c r="B175" s="3" t="s">
        <v>535</v>
      </c>
      <c r="C175" s="82" t="s">
        <v>536</v>
      </c>
      <c r="D175" s="81"/>
      <c r="E175" s="3" t="s">
        <v>174</v>
      </c>
      <c r="F175" s="24">
        <v>4</v>
      </c>
      <c r="G175" s="180">
        <v>0</v>
      </c>
      <c r="H175" s="24">
        <f t="shared" si="250"/>
        <v>0</v>
      </c>
      <c r="I175" s="24">
        <f t="shared" si="251"/>
        <v>0</v>
      </c>
      <c r="J175" s="24">
        <f t="shared" si="252"/>
        <v>0</v>
      </c>
      <c r="K175" s="25"/>
      <c r="Z175" s="24">
        <f t="shared" si="253"/>
        <v>0</v>
      </c>
      <c r="AB175" s="24">
        <f t="shared" si="254"/>
        <v>0</v>
      </c>
      <c r="AC175" s="24">
        <f t="shared" si="255"/>
        <v>0</v>
      </c>
      <c r="AD175" s="24">
        <f t="shared" si="256"/>
        <v>0</v>
      </c>
      <c r="AE175" s="24">
        <f t="shared" si="257"/>
        <v>0</v>
      </c>
      <c r="AF175" s="24">
        <f t="shared" si="258"/>
        <v>0</v>
      </c>
      <c r="AG175" s="24">
        <f t="shared" si="259"/>
        <v>0</v>
      </c>
      <c r="AH175" s="24">
        <f t="shared" si="260"/>
        <v>0</v>
      </c>
      <c r="AI175" s="10" t="s">
        <v>43</v>
      </c>
      <c r="AJ175" s="24">
        <f t="shared" si="261"/>
        <v>0</v>
      </c>
      <c r="AK175" s="24">
        <f t="shared" si="262"/>
        <v>0</v>
      </c>
      <c r="AL175" s="24">
        <f t="shared" si="263"/>
        <v>0</v>
      </c>
      <c r="AN175" s="24">
        <v>21</v>
      </c>
      <c r="AO175" s="24">
        <f t="shared" ref="AO175:AO186" si="272">G175*0.769230769</f>
        <v>0</v>
      </c>
      <c r="AP175" s="24">
        <f t="shared" ref="AP175:AP186" si="273">G175*(1-0.769230769)</f>
        <v>0</v>
      </c>
      <c r="AQ175" s="26" t="s">
        <v>46</v>
      </c>
      <c r="AV175" s="24">
        <f t="shared" si="264"/>
        <v>0</v>
      </c>
      <c r="AW175" s="24">
        <f t="shared" si="265"/>
        <v>0</v>
      </c>
      <c r="AX175" s="24">
        <f t="shared" si="266"/>
        <v>0</v>
      </c>
      <c r="AY175" s="26" t="s">
        <v>533</v>
      </c>
      <c r="AZ175" s="26" t="s">
        <v>427</v>
      </c>
      <c r="BA175" s="10" t="s">
        <v>52</v>
      </c>
      <c r="BC175" s="24">
        <f t="shared" si="267"/>
        <v>0</v>
      </c>
      <c r="BD175" s="24">
        <f t="shared" si="268"/>
        <v>0</v>
      </c>
      <c r="BE175" s="24">
        <v>0</v>
      </c>
      <c r="BF175" s="24">
        <f>172</f>
        <v>172</v>
      </c>
      <c r="BH175" s="24">
        <f t="shared" si="269"/>
        <v>0</v>
      </c>
      <c r="BI175" s="24">
        <f t="shared" si="270"/>
        <v>0</v>
      </c>
      <c r="BJ175" s="24">
        <f t="shared" si="271"/>
        <v>0</v>
      </c>
      <c r="BK175" s="26" t="s">
        <v>53</v>
      </c>
      <c r="BL175" s="24"/>
      <c r="BW175" s="24">
        <v>21</v>
      </c>
      <c r="BX175" s="4" t="s">
        <v>536</v>
      </c>
    </row>
    <row r="176" spans="1:76" ht="14.4" x14ac:dyDescent="0.3">
      <c r="A176" s="2" t="s">
        <v>537</v>
      </c>
      <c r="B176" s="3" t="s">
        <v>538</v>
      </c>
      <c r="C176" s="82" t="s">
        <v>539</v>
      </c>
      <c r="D176" s="81"/>
      <c r="E176" s="3" t="s">
        <v>174</v>
      </c>
      <c r="F176" s="24">
        <v>1</v>
      </c>
      <c r="G176" s="180">
        <v>0</v>
      </c>
      <c r="H176" s="24">
        <f t="shared" si="250"/>
        <v>0</v>
      </c>
      <c r="I176" s="24">
        <f t="shared" si="251"/>
        <v>0</v>
      </c>
      <c r="J176" s="24">
        <f t="shared" si="252"/>
        <v>0</v>
      </c>
      <c r="K176" s="25"/>
      <c r="Z176" s="24">
        <f t="shared" si="253"/>
        <v>0</v>
      </c>
      <c r="AB176" s="24">
        <f t="shared" si="254"/>
        <v>0</v>
      </c>
      <c r="AC176" s="24">
        <f t="shared" si="255"/>
        <v>0</v>
      </c>
      <c r="AD176" s="24">
        <f t="shared" si="256"/>
        <v>0</v>
      </c>
      <c r="AE176" s="24">
        <f t="shared" si="257"/>
        <v>0</v>
      </c>
      <c r="AF176" s="24">
        <f t="shared" si="258"/>
        <v>0</v>
      </c>
      <c r="AG176" s="24">
        <f t="shared" si="259"/>
        <v>0</v>
      </c>
      <c r="AH176" s="24">
        <f t="shared" si="260"/>
        <v>0</v>
      </c>
      <c r="AI176" s="10" t="s">
        <v>43</v>
      </c>
      <c r="AJ176" s="24">
        <f t="shared" si="261"/>
        <v>0</v>
      </c>
      <c r="AK176" s="24">
        <f t="shared" si="262"/>
        <v>0</v>
      </c>
      <c r="AL176" s="24">
        <f t="shared" si="263"/>
        <v>0</v>
      </c>
      <c r="AN176" s="24">
        <v>21</v>
      </c>
      <c r="AO176" s="24">
        <f t="shared" si="272"/>
        <v>0</v>
      </c>
      <c r="AP176" s="24">
        <f t="shared" si="273"/>
        <v>0</v>
      </c>
      <c r="AQ176" s="26" t="s">
        <v>46</v>
      </c>
      <c r="AV176" s="24">
        <f t="shared" si="264"/>
        <v>0</v>
      </c>
      <c r="AW176" s="24">
        <f t="shared" si="265"/>
        <v>0</v>
      </c>
      <c r="AX176" s="24">
        <f t="shared" si="266"/>
        <v>0</v>
      </c>
      <c r="AY176" s="26" t="s">
        <v>533</v>
      </c>
      <c r="AZ176" s="26" t="s">
        <v>427</v>
      </c>
      <c r="BA176" s="10" t="s">
        <v>52</v>
      </c>
      <c r="BC176" s="24">
        <f t="shared" si="267"/>
        <v>0</v>
      </c>
      <c r="BD176" s="24">
        <f t="shared" si="268"/>
        <v>0</v>
      </c>
      <c r="BE176" s="24">
        <v>0</v>
      </c>
      <c r="BF176" s="24">
        <f>173</f>
        <v>173</v>
      </c>
      <c r="BH176" s="24">
        <f t="shared" si="269"/>
        <v>0</v>
      </c>
      <c r="BI176" s="24">
        <f t="shared" si="270"/>
        <v>0</v>
      </c>
      <c r="BJ176" s="24">
        <f t="shared" si="271"/>
        <v>0</v>
      </c>
      <c r="BK176" s="26" t="s">
        <v>53</v>
      </c>
      <c r="BL176" s="24"/>
      <c r="BW176" s="24">
        <v>21</v>
      </c>
      <c r="BX176" s="4" t="s">
        <v>539</v>
      </c>
    </row>
    <row r="177" spans="1:76" ht="14.4" x14ac:dyDescent="0.3">
      <c r="A177" s="2" t="s">
        <v>540</v>
      </c>
      <c r="B177" s="3" t="s">
        <v>541</v>
      </c>
      <c r="C177" s="82" t="s">
        <v>542</v>
      </c>
      <c r="D177" s="81"/>
      <c r="E177" s="3" t="s">
        <v>174</v>
      </c>
      <c r="F177" s="24">
        <v>1</v>
      </c>
      <c r="G177" s="180">
        <v>0</v>
      </c>
      <c r="H177" s="24">
        <f t="shared" si="250"/>
        <v>0</v>
      </c>
      <c r="I177" s="24">
        <f t="shared" si="251"/>
        <v>0</v>
      </c>
      <c r="J177" s="24">
        <f t="shared" si="252"/>
        <v>0</v>
      </c>
      <c r="K177" s="25"/>
      <c r="Z177" s="24">
        <f t="shared" si="253"/>
        <v>0</v>
      </c>
      <c r="AB177" s="24">
        <f t="shared" si="254"/>
        <v>0</v>
      </c>
      <c r="AC177" s="24">
        <f t="shared" si="255"/>
        <v>0</v>
      </c>
      <c r="AD177" s="24">
        <f t="shared" si="256"/>
        <v>0</v>
      </c>
      <c r="AE177" s="24">
        <f t="shared" si="257"/>
        <v>0</v>
      </c>
      <c r="AF177" s="24">
        <f t="shared" si="258"/>
        <v>0</v>
      </c>
      <c r="AG177" s="24">
        <f t="shared" si="259"/>
        <v>0</v>
      </c>
      <c r="AH177" s="24">
        <f t="shared" si="260"/>
        <v>0</v>
      </c>
      <c r="AI177" s="10" t="s">
        <v>43</v>
      </c>
      <c r="AJ177" s="24">
        <f t="shared" si="261"/>
        <v>0</v>
      </c>
      <c r="AK177" s="24">
        <f t="shared" si="262"/>
        <v>0</v>
      </c>
      <c r="AL177" s="24">
        <f t="shared" si="263"/>
        <v>0</v>
      </c>
      <c r="AN177" s="24">
        <v>21</v>
      </c>
      <c r="AO177" s="24">
        <f t="shared" si="272"/>
        <v>0</v>
      </c>
      <c r="AP177" s="24">
        <f t="shared" si="273"/>
        <v>0</v>
      </c>
      <c r="AQ177" s="26" t="s">
        <v>46</v>
      </c>
      <c r="AV177" s="24">
        <f t="shared" si="264"/>
        <v>0</v>
      </c>
      <c r="AW177" s="24">
        <f t="shared" si="265"/>
        <v>0</v>
      </c>
      <c r="AX177" s="24">
        <f t="shared" si="266"/>
        <v>0</v>
      </c>
      <c r="AY177" s="26" t="s">
        <v>533</v>
      </c>
      <c r="AZ177" s="26" t="s">
        <v>427</v>
      </c>
      <c r="BA177" s="10" t="s">
        <v>52</v>
      </c>
      <c r="BC177" s="24">
        <f t="shared" si="267"/>
        <v>0</v>
      </c>
      <c r="BD177" s="24">
        <f t="shared" si="268"/>
        <v>0</v>
      </c>
      <c r="BE177" s="24">
        <v>0</v>
      </c>
      <c r="BF177" s="24">
        <f>174</f>
        <v>174</v>
      </c>
      <c r="BH177" s="24">
        <f t="shared" si="269"/>
        <v>0</v>
      </c>
      <c r="BI177" s="24">
        <f t="shared" si="270"/>
        <v>0</v>
      </c>
      <c r="BJ177" s="24">
        <f t="shared" si="271"/>
        <v>0</v>
      </c>
      <c r="BK177" s="26" t="s">
        <v>53</v>
      </c>
      <c r="BL177" s="24"/>
      <c r="BW177" s="24">
        <v>21</v>
      </c>
      <c r="BX177" s="4" t="s">
        <v>542</v>
      </c>
    </row>
    <row r="178" spans="1:76" ht="26.4" x14ac:dyDescent="0.3">
      <c r="A178" s="2" t="s">
        <v>543</v>
      </c>
      <c r="B178" s="3" t="s">
        <v>544</v>
      </c>
      <c r="C178" s="82" t="s">
        <v>545</v>
      </c>
      <c r="D178" s="81"/>
      <c r="E178" s="3" t="s">
        <v>174</v>
      </c>
      <c r="F178" s="24">
        <v>6</v>
      </c>
      <c r="G178" s="180">
        <v>0</v>
      </c>
      <c r="H178" s="24">
        <f t="shared" si="250"/>
        <v>0</v>
      </c>
      <c r="I178" s="24">
        <f t="shared" si="251"/>
        <v>0</v>
      </c>
      <c r="J178" s="24">
        <f t="shared" si="252"/>
        <v>0</v>
      </c>
      <c r="K178" s="25"/>
      <c r="Z178" s="24">
        <f t="shared" si="253"/>
        <v>0</v>
      </c>
      <c r="AB178" s="24">
        <f t="shared" si="254"/>
        <v>0</v>
      </c>
      <c r="AC178" s="24">
        <f t="shared" si="255"/>
        <v>0</v>
      </c>
      <c r="AD178" s="24">
        <f t="shared" si="256"/>
        <v>0</v>
      </c>
      <c r="AE178" s="24">
        <f t="shared" si="257"/>
        <v>0</v>
      </c>
      <c r="AF178" s="24">
        <f t="shared" si="258"/>
        <v>0</v>
      </c>
      <c r="AG178" s="24">
        <f t="shared" si="259"/>
        <v>0</v>
      </c>
      <c r="AH178" s="24">
        <f t="shared" si="260"/>
        <v>0</v>
      </c>
      <c r="AI178" s="10" t="s">
        <v>43</v>
      </c>
      <c r="AJ178" s="24">
        <f t="shared" si="261"/>
        <v>0</v>
      </c>
      <c r="AK178" s="24">
        <f t="shared" si="262"/>
        <v>0</v>
      </c>
      <c r="AL178" s="24">
        <f t="shared" si="263"/>
        <v>0</v>
      </c>
      <c r="AN178" s="24">
        <v>21</v>
      </c>
      <c r="AO178" s="24">
        <f t="shared" si="272"/>
        <v>0</v>
      </c>
      <c r="AP178" s="24">
        <f t="shared" si="273"/>
        <v>0</v>
      </c>
      <c r="AQ178" s="26" t="s">
        <v>46</v>
      </c>
      <c r="AV178" s="24">
        <f t="shared" si="264"/>
        <v>0</v>
      </c>
      <c r="AW178" s="24">
        <f t="shared" si="265"/>
        <v>0</v>
      </c>
      <c r="AX178" s="24">
        <f t="shared" si="266"/>
        <v>0</v>
      </c>
      <c r="AY178" s="26" t="s">
        <v>533</v>
      </c>
      <c r="AZ178" s="26" t="s">
        <v>427</v>
      </c>
      <c r="BA178" s="10" t="s">
        <v>52</v>
      </c>
      <c r="BC178" s="24">
        <f t="shared" si="267"/>
        <v>0</v>
      </c>
      <c r="BD178" s="24">
        <f t="shared" si="268"/>
        <v>0</v>
      </c>
      <c r="BE178" s="24">
        <v>0</v>
      </c>
      <c r="BF178" s="24">
        <f>175</f>
        <v>175</v>
      </c>
      <c r="BH178" s="24">
        <f t="shared" si="269"/>
        <v>0</v>
      </c>
      <c r="BI178" s="24">
        <f t="shared" si="270"/>
        <v>0</v>
      </c>
      <c r="BJ178" s="24">
        <f t="shared" si="271"/>
        <v>0</v>
      </c>
      <c r="BK178" s="26" t="s">
        <v>53</v>
      </c>
      <c r="BL178" s="24"/>
      <c r="BW178" s="24">
        <v>21</v>
      </c>
      <c r="BX178" s="4" t="s">
        <v>545</v>
      </c>
    </row>
    <row r="179" spans="1:76" ht="26.4" x14ac:dyDescent="0.3">
      <c r="A179" s="2" t="s">
        <v>546</v>
      </c>
      <c r="B179" s="3" t="s">
        <v>547</v>
      </c>
      <c r="C179" s="82" t="s">
        <v>548</v>
      </c>
      <c r="D179" s="81"/>
      <c r="E179" s="3" t="s">
        <v>174</v>
      </c>
      <c r="F179" s="24">
        <v>6</v>
      </c>
      <c r="G179" s="180">
        <v>0</v>
      </c>
      <c r="H179" s="24">
        <f t="shared" si="250"/>
        <v>0</v>
      </c>
      <c r="I179" s="24">
        <f t="shared" si="251"/>
        <v>0</v>
      </c>
      <c r="J179" s="24">
        <f t="shared" si="252"/>
        <v>0</v>
      </c>
      <c r="K179" s="25"/>
      <c r="Z179" s="24">
        <f t="shared" si="253"/>
        <v>0</v>
      </c>
      <c r="AB179" s="24">
        <f t="shared" si="254"/>
        <v>0</v>
      </c>
      <c r="AC179" s="24">
        <f t="shared" si="255"/>
        <v>0</v>
      </c>
      <c r="AD179" s="24">
        <f t="shared" si="256"/>
        <v>0</v>
      </c>
      <c r="AE179" s="24">
        <f t="shared" si="257"/>
        <v>0</v>
      </c>
      <c r="AF179" s="24">
        <f t="shared" si="258"/>
        <v>0</v>
      </c>
      <c r="AG179" s="24">
        <f t="shared" si="259"/>
        <v>0</v>
      </c>
      <c r="AH179" s="24">
        <f t="shared" si="260"/>
        <v>0</v>
      </c>
      <c r="AI179" s="10" t="s">
        <v>43</v>
      </c>
      <c r="AJ179" s="24">
        <f t="shared" si="261"/>
        <v>0</v>
      </c>
      <c r="AK179" s="24">
        <f t="shared" si="262"/>
        <v>0</v>
      </c>
      <c r="AL179" s="24">
        <f t="shared" si="263"/>
        <v>0</v>
      </c>
      <c r="AN179" s="24">
        <v>21</v>
      </c>
      <c r="AO179" s="24">
        <f t="shared" si="272"/>
        <v>0</v>
      </c>
      <c r="AP179" s="24">
        <f t="shared" si="273"/>
        <v>0</v>
      </c>
      <c r="AQ179" s="26" t="s">
        <v>46</v>
      </c>
      <c r="AV179" s="24">
        <f t="shared" si="264"/>
        <v>0</v>
      </c>
      <c r="AW179" s="24">
        <f t="shared" si="265"/>
        <v>0</v>
      </c>
      <c r="AX179" s="24">
        <f t="shared" si="266"/>
        <v>0</v>
      </c>
      <c r="AY179" s="26" t="s">
        <v>533</v>
      </c>
      <c r="AZ179" s="26" t="s">
        <v>427</v>
      </c>
      <c r="BA179" s="10" t="s">
        <v>52</v>
      </c>
      <c r="BC179" s="24">
        <f t="shared" si="267"/>
        <v>0</v>
      </c>
      <c r="BD179" s="24">
        <f t="shared" si="268"/>
        <v>0</v>
      </c>
      <c r="BE179" s="24">
        <v>0</v>
      </c>
      <c r="BF179" s="24">
        <f>176</f>
        <v>176</v>
      </c>
      <c r="BH179" s="24">
        <f t="shared" si="269"/>
        <v>0</v>
      </c>
      <c r="BI179" s="24">
        <f t="shared" si="270"/>
        <v>0</v>
      </c>
      <c r="BJ179" s="24">
        <f t="shared" si="271"/>
        <v>0</v>
      </c>
      <c r="BK179" s="26" t="s">
        <v>53</v>
      </c>
      <c r="BL179" s="24"/>
      <c r="BW179" s="24">
        <v>21</v>
      </c>
      <c r="BX179" s="4" t="s">
        <v>548</v>
      </c>
    </row>
    <row r="180" spans="1:76" ht="14.4" x14ac:dyDescent="0.3">
      <c r="A180" s="2" t="s">
        <v>549</v>
      </c>
      <c r="B180" s="3" t="s">
        <v>550</v>
      </c>
      <c r="C180" s="82" t="s">
        <v>551</v>
      </c>
      <c r="D180" s="81"/>
      <c r="E180" s="3" t="s">
        <v>174</v>
      </c>
      <c r="F180" s="24">
        <v>2</v>
      </c>
      <c r="G180" s="180">
        <v>0</v>
      </c>
      <c r="H180" s="24">
        <f t="shared" si="250"/>
        <v>0</v>
      </c>
      <c r="I180" s="24">
        <f t="shared" si="251"/>
        <v>0</v>
      </c>
      <c r="J180" s="24">
        <f t="shared" si="252"/>
        <v>0</v>
      </c>
      <c r="K180" s="25"/>
      <c r="Z180" s="24">
        <f t="shared" si="253"/>
        <v>0</v>
      </c>
      <c r="AB180" s="24">
        <f t="shared" si="254"/>
        <v>0</v>
      </c>
      <c r="AC180" s="24">
        <f t="shared" si="255"/>
        <v>0</v>
      </c>
      <c r="AD180" s="24">
        <f t="shared" si="256"/>
        <v>0</v>
      </c>
      <c r="AE180" s="24">
        <f t="shared" si="257"/>
        <v>0</v>
      </c>
      <c r="AF180" s="24">
        <f t="shared" si="258"/>
        <v>0</v>
      </c>
      <c r="AG180" s="24">
        <f t="shared" si="259"/>
        <v>0</v>
      </c>
      <c r="AH180" s="24">
        <f t="shared" si="260"/>
        <v>0</v>
      </c>
      <c r="AI180" s="10" t="s">
        <v>43</v>
      </c>
      <c r="AJ180" s="24">
        <f t="shared" si="261"/>
        <v>0</v>
      </c>
      <c r="AK180" s="24">
        <f t="shared" si="262"/>
        <v>0</v>
      </c>
      <c r="AL180" s="24">
        <f t="shared" si="263"/>
        <v>0</v>
      </c>
      <c r="AN180" s="24">
        <v>21</v>
      </c>
      <c r="AO180" s="24">
        <f t="shared" si="272"/>
        <v>0</v>
      </c>
      <c r="AP180" s="24">
        <f t="shared" si="273"/>
        <v>0</v>
      </c>
      <c r="AQ180" s="26" t="s">
        <v>46</v>
      </c>
      <c r="AV180" s="24">
        <f t="shared" si="264"/>
        <v>0</v>
      </c>
      <c r="AW180" s="24">
        <f t="shared" si="265"/>
        <v>0</v>
      </c>
      <c r="AX180" s="24">
        <f t="shared" si="266"/>
        <v>0</v>
      </c>
      <c r="AY180" s="26" t="s">
        <v>533</v>
      </c>
      <c r="AZ180" s="26" t="s">
        <v>427</v>
      </c>
      <c r="BA180" s="10" t="s">
        <v>52</v>
      </c>
      <c r="BC180" s="24">
        <f t="shared" si="267"/>
        <v>0</v>
      </c>
      <c r="BD180" s="24">
        <f t="shared" si="268"/>
        <v>0</v>
      </c>
      <c r="BE180" s="24">
        <v>0</v>
      </c>
      <c r="BF180" s="24">
        <f>177</f>
        <v>177</v>
      </c>
      <c r="BH180" s="24">
        <f t="shared" si="269"/>
        <v>0</v>
      </c>
      <c r="BI180" s="24">
        <f t="shared" si="270"/>
        <v>0</v>
      </c>
      <c r="BJ180" s="24">
        <f t="shared" si="271"/>
        <v>0</v>
      </c>
      <c r="BK180" s="26" t="s">
        <v>53</v>
      </c>
      <c r="BL180" s="24"/>
      <c r="BW180" s="24">
        <v>21</v>
      </c>
      <c r="BX180" s="4" t="s">
        <v>551</v>
      </c>
    </row>
    <row r="181" spans="1:76" ht="14.4" x14ac:dyDescent="0.3">
      <c r="A181" s="2" t="s">
        <v>552</v>
      </c>
      <c r="B181" s="3" t="s">
        <v>553</v>
      </c>
      <c r="C181" s="82" t="s">
        <v>554</v>
      </c>
      <c r="D181" s="81"/>
      <c r="E181" s="3" t="s">
        <v>174</v>
      </c>
      <c r="F181" s="24">
        <v>2</v>
      </c>
      <c r="G181" s="180">
        <v>0</v>
      </c>
      <c r="H181" s="24">
        <f t="shared" si="250"/>
        <v>0</v>
      </c>
      <c r="I181" s="24">
        <f t="shared" si="251"/>
        <v>0</v>
      </c>
      <c r="J181" s="24">
        <f t="shared" si="252"/>
        <v>0</v>
      </c>
      <c r="K181" s="25"/>
      <c r="Z181" s="24">
        <f t="shared" si="253"/>
        <v>0</v>
      </c>
      <c r="AB181" s="24">
        <f t="shared" si="254"/>
        <v>0</v>
      </c>
      <c r="AC181" s="24">
        <f t="shared" si="255"/>
        <v>0</v>
      </c>
      <c r="AD181" s="24">
        <f t="shared" si="256"/>
        <v>0</v>
      </c>
      <c r="AE181" s="24">
        <f t="shared" si="257"/>
        <v>0</v>
      </c>
      <c r="AF181" s="24">
        <f t="shared" si="258"/>
        <v>0</v>
      </c>
      <c r="AG181" s="24">
        <f t="shared" si="259"/>
        <v>0</v>
      </c>
      <c r="AH181" s="24">
        <f t="shared" si="260"/>
        <v>0</v>
      </c>
      <c r="AI181" s="10" t="s">
        <v>43</v>
      </c>
      <c r="AJ181" s="24">
        <f t="shared" si="261"/>
        <v>0</v>
      </c>
      <c r="AK181" s="24">
        <f t="shared" si="262"/>
        <v>0</v>
      </c>
      <c r="AL181" s="24">
        <f t="shared" si="263"/>
        <v>0</v>
      </c>
      <c r="AN181" s="24">
        <v>21</v>
      </c>
      <c r="AO181" s="24">
        <f t="shared" si="272"/>
        <v>0</v>
      </c>
      <c r="AP181" s="24">
        <f t="shared" si="273"/>
        <v>0</v>
      </c>
      <c r="AQ181" s="26" t="s">
        <v>46</v>
      </c>
      <c r="AV181" s="24">
        <f t="shared" si="264"/>
        <v>0</v>
      </c>
      <c r="AW181" s="24">
        <f t="shared" si="265"/>
        <v>0</v>
      </c>
      <c r="AX181" s="24">
        <f t="shared" si="266"/>
        <v>0</v>
      </c>
      <c r="AY181" s="26" t="s">
        <v>533</v>
      </c>
      <c r="AZ181" s="26" t="s">
        <v>427</v>
      </c>
      <c r="BA181" s="10" t="s">
        <v>52</v>
      </c>
      <c r="BC181" s="24">
        <f t="shared" si="267"/>
        <v>0</v>
      </c>
      <c r="BD181" s="24">
        <f t="shared" si="268"/>
        <v>0</v>
      </c>
      <c r="BE181" s="24">
        <v>0</v>
      </c>
      <c r="BF181" s="24">
        <f>178</f>
        <v>178</v>
      </c>
      <c r="BH181" s="24">
        <f t="shared" si="269"/>
        <v>0</v>
      </c>
      <c r="BI181" s="24">
        <f t="shared" si="270"/>
        <v>0</v>
      </c>
      <c r="BJ181" s="24">
        <f t="shared" si="271"/>
        <v>0</v>
      </c>
      <c r="BK181" s="26" t="s">
        <v>53</v>
      </c>
      <c r="BL181" s="24"/>
      <c r="BW181" s="24">
        <v>21</v>
      </c>
      <c r="BX181" s="4" t="s">
        <v>554</v>
      </c>
    </row>
    <row r="182" spans="1:76" ht="26.4" x14ac:dyDescent="0.3">
      <c r="A182" s="2" t="s">
        <v>555</v>
      </c>
      <c r="B182" s="3" t="s">
        <v>556</v>
      </c>
      <c r="C182" s="82" t="s">
        <v>557</v>
      </c>
      <c r="D182" s="81"/>
      <c r="E182" s="3" t="s">
        <v>558</v>
      </c>
      <c r="F182" s="24">
        <v>22</v>
      </c>
      <c r="G182" s="180">
        <v>0</v>
      </c>
      <c r="H182" s="24">
        <f t="shared" si="250"/>
        <v>0</v>
      </c>
      <c r="I182" s="24">
        <f t="shared" si="251"/>
        <v>0</v>
      </c>
      <c r="J182" s="24">
        <f t="shared" si="252"/>
        <v>0</v>
      </c>
      <c r="K182" s="25"/>
      <c r="Z182" s="24">
        <f t="shared" si="253"/>
        <v>0</v>
      </c>
      <c r="AB182" s="24">
        <f t="shared" si="254"/>
        <v>0</v>
      </c>
      <c r="AC182" s="24">
        <f t="shared" si="255"/>
        <v>0</v>
      </c>
      <c r="AD182" s="24">
        <f t="shared" si="256"/>
        <v>0</v>
      </c>
      <c r="AE182" s="24">
        <f t="shared" si="257"/>
        <v>0</v>
      </c>
      <c r="AF182" s="24">
        <f t="shared" si="258"/>
        <v>0</v>
      </c>
      <c r="AG182" s="24">
        <f t="shared" si="259"/>
        <v>0</v>
      </c>
      <c r="AH182" s="24">
        <f t="shared" si="260"/>
        <v>0</v>
      </c>
      <c r="AI182" s="10" t="s">
        <v>43</v>
      </c>
      <c r="AJ182" s="24">
        <f t="shared" si="261"/>
        <v>0</v>
      </c>
      <c r="AK182" s="24">
        <f t="shared" si="262"/>
        <v>0</v>
      </c>
      <c r="AL182" s="24">
        <f t="shared" si="263"/>
        <v>0</v>
      </c>
      <c r="AN182" s="24">
        <v>21</v>
      </c>
      <c r="AO182" s="24">
        <f t="shared" si="272"/>
        <v>0</v>
      </c>
      <c r="AP182" s="24">
        <f t="shared" si="273"/>
        <v>0</v>
      </c>
      <c r="AQ182" s="26" t="s">
        <v>46</v>
      </c>
      <c r="AV182" s="24">
        <f t="shared" si="264"/>
        <v>0</v>
      </c>
      <c r="AW182" s="24">
        <f t="shared" si="265"/>
        <v>0</v>
      </c>
      <c r="AX182" s="24">
        <f t="shared" si="266"/>
        <v>0</v>
      </c>
      <c r="AY182" s="26" t="s">
        <v>533</v>
      </c>
      <c r="AZ182" s="26" t="s">
        <v>427</v>
      </c>
      <c r="BA182" s="10" t="s">
        <v>52</v>
      </c>
      <c r="BC182" s="24">
        <f t="shared" si="267"/>
        <v>0</v>
      </c>
      <c r="BD182" s="24">
        <f t="shared" si="268"/>
        <v>0</v>
      </c>
      <c r="BE182" s="24">
        <v>0</v>
      </c>
      <c r="BF182" s="24">
        <f>179</f>
        <v>179</v>
      </c>
      <c r="BH182" s="24">
        <f t="shared" si="269"/>
        <v>0</v>
      </c>
      <c r="BI182" s="24">
        <f t="shared" si="270"/>
        <v>0</v>
      </c>
      <c r="BJ182" s="24">
        <f t="shared" si="271"/>
        <v>0</v>
      </c>
      <c r="BK182" s="26" t="s">
        <v>53</v>
      </c>
      <c r="BL182" s="24"/>
      <c r="BW182" s="24">
        <v>21</v>
      </c>
      <c r="BX182" s="4" t="s">
        <v>557</v>
      </c>
    </row>
    <row r="183" spans="1:76" ht="26.4" x14ac:dyDescent="0.3">
      <c r="A183" s="2" t="s">
        <v>559</v>
      </c>
      <c r="B183" s="3" t="s">
        <v>560</v>
      </c>
      <c r="C183" s="82" t="s">
        <v>561</v>
      </c>
      <c r="D183" s="81"/>
      <c r="E183" s="3" t="s">
        <v>49</v>
      </c>
      <c r="F183" s="24">
        <v>52</v>
      </c>
      <c r="G183" s="180">
        <v>0</v>
      </c>
      <c r="H183" s="24">
        <f t="shared" si="250"/>
        <v>0</v>
      </c>
      <c r="I183" s="24">
        <f t="shared" si="251"/>
        <v>0</v>
      </c>
      <c r="J183" s="24">
        <f t="shared" si="252"/>
        <v>0</v>
      </c>
      <c r="K183" s="25"/>
      <c r="Z183" s="24">
        <f t="shared" si="253"/>
        <v>0</v>
      </c>
      <c r="AB183" s="24">
        <f t="shared" si="254"/>
        <v>0</v>
      </c>
      <c r="AC183" s="24">
        <f t="shared" si="255"/>
        <v>0</v>
      </c>
      <c r="AD183" s="24">
        <f t="shared" si="256"/>
        <v>0</v>
      </c>
      <c r="AE183" s="24">
        <f t="shared" si="257"/>
        <v>0</v>
      </c>
      <c r="AF183" s="24">
        <f t="shared" si="258"/>
        <v>0</v>
      </c>
      <c r="AG183" s="24">
        <f t="shared" si="259"/>
        <v>0</v>
      </c>
      <c r="AH183" s="24">
        <f t="shared" si="260"/>
        <v>0</v>
      </c>
      <c r="AI183" s="10" t="s">
        <v>43</v>
      </c>
      <c r="AJ183" s="24">
        <f t="shared" si="261"/>
        <v>0</v>
      </c>
      <c r="AK183" s="24">
        <f t="shared" si="262"/>
        <v>0</v>
      </c>
      <c r="AL183" s="24">
        <f t="shared" si="263"/>
        <v>0</v>
      </c>
      <c r="AN183" s="24">
        <v>21</v>
      </c>
      <c r="AO183" s="24">
        <f t="shared" si="272"/>
        <v>0</v>
      </c>
      <c r="AP183" s="24">
        <f t="shared" si="273"/>
        <v>0</v>
      </c>
      <c r="AQ183" s="26" t="s">
        <v>46</v>
      </c>
      <c r="AV183" s="24">
        <f t="shared" si="264"/>
        <v>0</v>
      </c>
      <c r="AW183" s="24">
        <f t="shared" si="265"/>
        <v>0</v>
      </c>
      <c r="AX183" s="24">
        <f t="shared" si="266"/>
        <v>0</v>
      </c>
      <c r="AY183" s="26" t="s">
        <v>533</v>
      </c>
      <c r="AZ183" s="26" t="s">
        <v>427</v>
      </c>
      <c r="BA183" s="10" t="s">
        <v>52</v>
      </c>
      <c r="BC183" s="24">
        <f t="shared" si="267"/>
        <v>0</v>
      </c>
      <c r="BD183" s="24">
        <f t="shared" si="268"/>
        <v>0</v>
      </c>
      <c r="BE183" s="24">
        <v>0</v>
      </c>
      <c r="BF183" s="24">
        <f>180</f>
        <v>180</v>
      </c>
      <c r="BH183" s="24">
        <f t="shared" si="269"/>
        <v>0</v>
      </c>
      <c r="BI183" s="24">
        <f t="shared" si="270"/>
        <v>0</v>
      </c>
      <c r="BJ183" s="24">
        <f t="shared" si="271"/>
        <v>0</v>
      </c>
      <c r="BK183" s="26" t="s">
        <v>53</v>
      </c>
      <c r="BL183" s="24"/>
      <c r="BW183" s="24">
        <v>21</v>
      </c>
      <c r="BX183" s="4" t="s">
        <v>561</v>
      </c>
    </row>
    <row r="184" spans="1:76" ht="26.4" x14ac:dyDescent="0.3">
      <c r="A184" s="2" t="s">
        <v>562</v>
      </c>
      <c r="B184" s="3" t="s">
        <v>563</v>
      </c>
      <c r="C184" s="82" t="s">
        <v>564</v>
      </c>
      <c r="D184" s="81"/>
      <c r="E184" s="3" t="s">
        <v>558</v>
      </c>
      <c r="F184" s="24">
        <v>35</v>
      </c>
      <c r="G184" s="180">
        <v>0</v>
      </c>
      <c r="H184" s="24">
        <f t="shared" si="250"/>
        <v>0</v>
      </c>
      <c r="I184" s="24">
        <f t="shared" si="251"/>
        <v>0</v>
      </c>
      <c r="J184" s="24">
        <f t="shared" si="252"/>
        <v>0</v>
      </c>
      <c r="K184" s="25"/>
      <c r="Z184" s="24">
        <f t="shared" si="253"/>
        <v>0</v>
      </c>
      <c r="AB184" s="24">
        <f t="shared" si="254"/>
        <v>0</v>
      </c>
      <c r="AC184" s="24">
        <f t="shared" si="255"/>
        <v>0</v>
      </c>
      <c r="AD184" s="24">
        <f t="shared" si="256"/>
        <v>0</v>
      </c>
      <c r="AE184" s="24">
        <f t="shared" si="257"/>
        <v>0</v>
      </c>
      <c r="AF184" s="24">
        <f t="shared" si="258"/>
        <v>0</v>
      </c>
      <c r="AG184" s="24">
        <f t="shared" si="259"/>
        <v>0</v>
      </c>
      <c r="AH184" s="24">
        <f t="shared" si="260"/>
        <v>0</v>
      </c>
      <c r="AI184" s="10" t="s">
        <v>43</v>
      </c>
      <c r="AJ184" s="24">
        <f t="shared" si="261"/>
        <v>0</v>
      </c>
      <c r="AK184" s="24">
        <f t="shared" si="262"/>
        <v>0</v>
      </c>
      <c r="AL184" s="24">
        <f t="shared" si="263"/>
        <v>0</v>
      </c>
      <c r="AN184" s="24">
        <v>21</v>
      </c>
      <c r="AO184" s="24">
        <f t="shared" si="272"/>
        <v>0</v>
      </c>
      <c r="AP184" s="24">
        <f t="shared" si="273"/>
        <v>0</v>
      </c>
      <c r="AQ184" s="26" t="s">
        <v>46</v>
      </c>
      <c r="AV184" s="24">
        <f t="shared" si="264"/>
        <v>0</v>
      </c>
      <c r="AW184" s="24">
        <f t="shared" si="265"/>
        <v>0</v>
      </c>
      <c r="AX184" s="24">
        <f t="shared" si="266"/>
        <v>0</v>
      </c>
      <c r="AY184" s="26" t="s">
        <v>533</v>
      </c>
      <c r="AZ184" s="26" t="s">
        <v>427</v>
      </c>
      <c r="BA184" s="10" t="s">
        <v>52</v>
      </c>
      <c r="BC184" s="24">
        <f t="shared" si="267"/>
        <v>0</v>
      </c>
      <c r="BD184" s="24">
        <f t="shared" si="268"/>
        <v>0</v>
      </c>
      <c r="BE184" s="24">
        <v>0</v>
      </c>
      <c r="BF184" s="24">
        <f>181</f>
        <v>181</v>
      </c>
      <c r="BH184" s="24">
        <f t="shared" si="269"/>
        <v>0</v>
      </c>
      <c r="BI184" s="24">
        <f t="shared" si="270"/>
        <v>0</v>
      </c>
      <c r="BJ184" s="24">
        <f t="shared" si="271"/>
        <v>0</v>
      </c>
      <c r="BK184" s="26" t="s">
        <v>53</v>
      </c>
      <c r="BL184" s="24"/>
      <c r="BW184" s="24">
        <v>21</v>
      </c>
      <c r="BX184" s="4" t="s">
        <v>564</v>
      </c>
    </row>
    <row r="185" spans="1:76" ht="14.4" x14ac:dyDescent="0.3">
      <c r="A185" s="2" t="s">
        <v>565</v>
      </c>
      <c r="B185" s="3" t="s">
        <v>566</v>
      </c>
      <c r="C185" s="82" t="s">
        <v>567</v>
      </c>
      <c r="D185" s="81"/>
      <c r="E185" s="3" t="s">
        <v>49</v>
      </c>
      <c r="F185" s="24">
        <v>40</v>
      </c>
      <c r="G185" s="180">
        <v>0</v>
      </c>
      <c r="H185" s="24">
        <f t="shared" si="250"/>
        <v>0</v>
      </c>
      <c r="I185" s="24">
        <f t="shared" si="251"/>
        <v>0</v>
      </c>
      <c r="J185" s="24">
        <f t="shared" si="252"/>
        <v>0</v>
      </c>
      <c r="K185" s="25"/>
      <c r="Z185" s="24">
        <f t="shared" si="253"/>
        <v>0</v>
      </c>
      <c r="AB185" s="24">
        <f t="shared" si="254"/>
        <v>0</v>
      </c>
      <c r="AC185" s="24">
        <f t="shared" si="255"/>
        <v>0</v>
      </c>
      <c r="AD185" s="24">
        <f t="shared" si="256"/>
        <v>0</v>
      </c>
      <c r="AE185" s="24">
        <f t="shared" si="257"/>
        <v>0</v>
      </c>
      <c r="AF185" s="24">
        <f t="shared" si="258"/>
        <v>0</v>
      </c>
      <c r="AG185" s="24">
        <f t="shared" si="259"/>
        <v>0</v>
      </c>
      <c r="AH185" s="24">
        <f t="shared" si="260"/>
        <v>0</v>
      </c>
      <c r="AI185" s="10" t="s">
        <v>43</v>
      </c>
      <c r="AJ185" s="24">
        <f t="shared" si="261"/>
        <v>0</v>
      </c>
      <c r="AK185" s="24">
        <f t="shared" si="262"/>
        <v>0</v>
      </c>
      <c r="AL185" s="24">
        <f t="shared" si="263"/>
        <v>0</v>
      </c>
      <c r="AN185" s="24">
        <v>21</v>
      </c>
      <c r="AO185" s="24">
        <f t="shared" si="272"/>
        <v>0</v>
      </c>
      <c r="AP185" s="24">
        <f t="shared" si="273"/>
        <v>0</v>
      </c>
      <c r="AQ185" s="26" t="s">
        <v>46</v>
      </c>
      <c r="AV185" s="24">
        <f t="shared" si="264"/>
        <v>0</v>
      </c>
      <c r="AW185" s="24">
        <f t="shared" si="265"/>
        <v>0</v>
      </c>
      <c r="AX185" s="24">
        <f t="shared" si="266"/>
        <v>0</v>
      </c>
      <c r="AY185" s="26" t="s">
        <v>533</v>
      </c>
      <c r="AZ185" s="26" t="s">
        <v>427</v>
      </c>
      <c r="BA185" s="10" t="s">
        <v>52</v>
      </c>
      <c r="BC185" s="24">
        <f t="shared" si="267"/>
        <v>0</v>
      </c>
      <c r="BD185" s="24">
        <f t="shared" si="268"/>
        <v>0</v>
      </c>
      <c r="BE185" s="24">
        <v>0</v>
      </c>
      <c r="BF185" s="24">
        <f>182</f>
        <v>182</v>
      </c>
      <c r="BH185" s="24">
        <f t="shared" si="269"/>
        <v>0</v>
      </c>
      <c r="BI185" s="24">
        <f t="shared" si="270"/>
        <v>0</v>
      </c>
      <c r="BJ185" s="24">
        <f t="shared" si="271"/>
        <v>0</v>
      </c>
      <c r="BK185" s="26" t="s">
        <v>53</v>
      </c>
      <c r="BL185" s="24"/>
      <c r="BW185" s="24">
        <v>21</v>
      </c>
      <c r="BX185" s="4" t="s">
        <v>567</v>
      </c>
    </row>
    <row r="186" spans="1:76" ht="14.4" x14ac:dyDescent="0.3">
      <c r="A186" s="2" t="s">
        <v>568</v>
      </c>
      <c r="B186" s="3" t="s">
        <v>569</v>
      </c>
      <c r="C186" s="82" t="s">
        <v>570</v>
      </c>
      <c r="D186" s="81"/>
      <c r="E186" s="3" t="s">
        <v>49</v>
      </c>
      <c r="F186" s="24">
        <v>4</v>
      </c>
      <c r="G186" s="180">
        <v>0</v>
      </c>
      <c r="H186" s="24">
        <f t="shared" si="250"/>
        <v>0</v>
      </c>
      <c r="I186" s="24">
        <f t="shared" si="251"/>
        <v>0</v>
      </c>
      <c r="J186" s="24">
        <f t="shared" si="252"/>
        <v>0</v>
      </c>
      <c r="K186" s="25"/>
      <c r="Z186" s="24">
        <f t="shared" si="253"/>
        <v>0</v>
      </c>
      <c r="AB186" s="24">
        <f t="shared" si="254"/>
        <v>0</v>
      </c>
      <c r="AC186" s="24">
        <f t="shared" si="255"/>
        <v>0</v>
      </c>
      <c r="AD186" s="24">
        <f t="shared" si="256"/>
        <v>0</v>
      </c>
      <c r="AE186" s="24">
        <f t="shared" si="257"/>
        <v>0</v>
      </c>
      <c r="AF186" s="24">
        <f t="shared" si="258"/>
        <v>0</v>
      </c>
      <c r="AG186" s="24">
        <f t="shared" si="259"/>
        <v>0</v>
      </c>
      <c r="AH186" s="24">
        <f t="shared" si="260"/>
        <v>0</v>
      </c>
      <c r="AI186" s="10" t="s">
        <v>43</v>
      </c>
      <c r="AJ186" s="24">
        <f t="shared" si="261"/>
        <v>0</v>
      </c>
      <c r="AK186" s="24">
        <f t="shared" si="262"/>
        <v>0</v>
      </c>
      <c r="AL186" s="24">
        <f t="shared" si="263"/>
        <v>0</v>
      </c>
      <c r="AN186" s="24">
        <v>21</v>
      </c>
      <c r="AO186" s="24">
        <f t="shared" si="272"/>
        <v>0</v>
      </c>
      <c r="AP186" s="24">
        <f t="shared" si="273"/>
        <v>0</v>
      </c>
      <c r="AQ186" s="26" t="s">
        <v>46</v>
      </c>
      <c r="AV186" s="24">
        <f t="shared" si="264"/>
        <v>0</v>
      </c>
      <c r="AW186" s="24">
        <f t="shared" si="265"/>
        <v>0</v>
      </c>
      <c r="AX186" s="24">
        <f t="shared" si="266"/>
        <v>0</v>
      </c>
      <c r="AY186" s="26" t="s">
        <v>533</v>
      </c>
      <c r="AZ186" s="26" t="s">
        <v>427</v>
      </c>
      <c r="BA186" s="10" t="s">
        <v>52</v>
      </c>
      <c r="BC186" s="24">
        <f t="shared" si="267"/>
        <v>0</v>
      </c>
      <c r="BD186" s="24">
        <f t="shared" si="268"/>
        <v>0</v>
      </c>
      <c r="BE186" s="24">
        <v>0</v>
      </c>
      <c r="BF186" s="24">
        <f>183</f>
        <v>183</v>
      </c>
      <c r="BH186" s="24">
        <f t="shared" si="269"/>
        <v>0</v>
      </c>
      <c r="BI186" s="24">
        <f t="shared" si="270"/>
        <v>0</v>
      </c>
      <c r="BJ186" s="24">
        <f t="shared" si="271"/>
        <v>0</v>
      </c>
      <c r="BK186" s="26" t="s">
        <v>53</v>
      </c>
      <c r="BL186" s="24"/>
      <c r="BW186" s="24">
        <v>21</v>
      </c>
      <c r="BX186" s="4" t="s">
        <v>570</v>
      </c>
    </row>
    <row r="187" spans="1:76" ht="14.4" x14ac:dyDescent="0.3">
      <c r="A187" s="2" t="s">
        <v>571</v>
      </c>
      <c r="B187" s="3" t="s">
        <v>572</v>
      </c>
      <c r="C187" s="82" t="s">
        <v>573</v>
      </c>
      <c r="D187" s="81"/>
      <c r="E187" s="3" t="s">
        <v>49</v>
      </c>
      <c r="F187" s="24">
        <v>4</v>
      </c>
      <c r="G187" s="180">
        <v>0</v>
      </c>
      <c r="H187" s="24">
        <f t="shared" si="250"/>
        <v>0</v>
      </c>
      <c r="I187" s="24">
        <f t="shared" si="251"/>
        <v>0</v>
      </c>
      <c r="J187" s="24">
        <f t="shared" si="252"/>
        <v>0</v>
      </c>
      <c r="K187" s="25"/>
      <c r="Z187" s="24">
        <f t="shared" si="253"/>
        <v>0</v>
      </c>
      <c r="AB187" s="24">
        <f t="shared" si="254"/>
        <v>0</v>
      </c>
      <c r="AC187" s="24">
        <f t="shared" si="255"/>
        <v>0</v>
      </c>
      <c r="AD187" s="24">
        <f t="shared" si="256"/>
        <v>0</v>
      </c>
      <c r="AE187" s="24">
        <f t="shared" si="257"/>
        <v>0</v>
      </c>
      <c r="AF187" s="24">
        <f t="shared" si="258"/>
        <v>0</v>
      </c>
      <c r="AG187" s="24">
        <f t="shared" si="259"/>
        <v>0</v>
      </c>
      <c r="AH187" s="24">
        <f t="shared" si="260"/>
        <v>0</v>
      </c>
      <c r="AI187" s="10" t="s">
        <v>43</v>
      </c>
      <c r="AJ187" s="24">
        <f t="shared" si="261"/>
        <v>0</v>
      </c>
      <c r="AK187" s="24">
        <f t="shared" si="262"/>
        <v>0</v>
      </c>
      <c r="AL187" s="24">
        <f t="shared" si="263"/>
        <v>0</v>
      </c>
      <c r="AN187" s="24">
        <v>21</v>
      </c>
      <c r="AO187" s="24">
        <f>G187*1</f>
        <v>0</v>
      </c>
      <c r="AP187" s="24">
        <f>G187*(1-1)</f>
        <v>0</v>
      </c>
      <c r="AQ187" s="26" t="s">
        <v>46</v>
      </c>
      <c r="AV187" s="24">
        <f t="shared" si="264"/>
        <v>0</v>
      </c>
      <c r="AW187" s="24">
        <f t="shared" si="265"/>
        <v>0</v>
      </c>
      <c r="AX187" s="24">
        <f t="shared" si="266"/>
        <v>0</v>
      </c>
      <c r="AY187" s="26" t="s">
        <v>533</v>
      </c>
      <c r="AZ187" s="26" t="s">
        <v>427</v>
      </c>
      <c r="BA187" s="10" t="s">
        <v>52</v>
      </c>
      <c r="BC187" s="24">
        <f t="shared" si="267"/>
        <v>0</v>
      </c>
      <c r="BD187" s="24">
        <f t="shared" si="268"/>
        <v>0</v>
      </c>
      <c r="BE187" s="24">
        <v>0</v>
      </c>
      <c r="BF187" s="24">
        <f>184</f>
        <v>184</v>
      </c>
      <c r="BH187" s="24">
        <f t="shared" si="269"/>
        <v>0</v>
      </c>
      <c r="BI187" s="24">
        <f t="shared" si="270"/>
        <v>0</v>
      </c>
      <c r="BJ187" s="24">
        <f t="shared" si="271"/>
        <v>0</v>
      </c>
      <c r="BK187" s="26" t="s">
        <v>53</v>
      </c>
      <c r="BL187" s="24"/>
      <c r="BW187" s="24">
        <v>21</v>
      </c>
      <c r="BX187" s="4" t="s">
        <v>573</v>
      </c>
    </row>
    <row r="188" spans="1:76" ht="14.4" x14ac:dyDescent="0.3">
      <c r="A188" s="2" t="s">
        <v>574</v>
      </c>
      <c r="B188" s="3" t="s">
        <v>575</v>
      </c>
      <c r="C188" s="82" t="s">
        <v>576</v>
      </c>
      <c r="D188" s="81"/>
      <c r="E188" s="3" t="s">
        <v>321</v>
      </c>
      <c r="F188" s="24">
        <v>120</v>
      </c>
      <c r="G188" s="180">
        <v>0</v>
      </c>
      <c r="H188" s="24">
        <f t="shared" si="250"/>
        <v>0</v>
      </c>
      <c r="I188" s="24">
        <f t="shared" si="251"/>
        <v>0</v>
      </c>
      <c r="J188" s="24">
        <f t="shared" si="252"/>
        <v>0</v>
      </c>
      <c r="K188" s="25"/>
      <c r="Z188" s="24">
        <f t="shared" si="253"/>
        <v>0</v>
      </c>
      <c r="AB188" s="24">
        <f t="shared" si="254"/>
        <v>0</v>
      </c>
      <c r="AC188" s="24">
        <f t="shared" si="255"/>
        <v>0</v>
      </c>
      <c r="AD188" s="24">
        <f t="shared" si="256"/>
        <v>0</v>
      </c>
      <c r="AE188" s="24">
        <f t="shared" si="257"/>
        <v>0</v>
      </c>
      <c r="AF188" s="24">
        <f t="shared" si="258"/>
        <v>0</v>
      </c>
      <c r="AG188" s="24">
        <f t="shared" si="259"/>
        <v>0</v>
      </c>
      <c r="AH188" s="24">
        <f t="shared" si="260"/>
        <v>0</v>
      </c>
      <c r="AI188" s="10" t="s">
        <v>43</v>
      </c>
      <c r="AJ188" s="24">
        <f t="shared" si="261"/>
        <v>0</v>
      </c>
      <c r="AK188" s="24">
        <f t="shared" si="262"/>
        <v>0</v>
      </c>
      <c r="AL188" s="24">
        <f t="shared" si="263"/>
        <v>0</v>
      </c>
      <c r="AN188" s="24">
        <v>21</v>
      </c>
      <c r="AO188" s="24">
        <f>G188*0.76754386</f>
        <v>0</v>
      </c>
      <c r="AP188" s="24">
        <f>G188*(1-0.76754386)</f>
        <v>0</v>
      </c>
      <c r="AQ188" s="26" t="s">
        <v>46</v>
      </c>
      <c r="AV188" s="24">
        <f t="shared" si="264"/>
        <v>0</v>
      </c>
      <c r="AW188" s="24">
        <f t="shared" si="265"/>
        <v>0</v>
      </c>
      <c r="AX188" s="24">
        <f t="shared" si="266"/>
        <v>0</v>
      </c>
      <c r="AY188" s="26" t="s">
        <v>533</v>
      </c>
      <c r="AZ188" s="26" t="s">
        <v>427</v>
      </c>
      <c r="BA188" s="10" t="s">
        <v>52</v>
      </c>
      <c r="BC188" s="24">
        <f t="shared" si="267"/>
        <v>0</v>
      </c>
      <c r="BD188" s="24">
        <f t="shared" si="268"/>
        <v>0</v>
      </c>
      <c r="BE188" s="24">
        <v>0</v>
      </c>
      <c r="BF188" s="24">
        <f>185</f>
        <v>185</v>
      </c>
      <c r="BH188" s="24">
        <f t="shared" si="269"/>
        <v>0</v>
      </c>
      <c r="BI188" s="24">
        <f t="shared" si="270"/>
        <v>0</v>
      </c>
      <c r="BJ188" s="24">
        <f t="shared" si="271"/>
        <v>0</v>
      </c>
      <c r="BK188" s="26" t="s">
        <v>53</v>
      </c>
      <c r="BL188" s="24"/>
      <c r="BW188" s="24">
        <v>21</v>
      </c>
      <c r="BX188" s="4" t="s">
        <v>576</v>
      </c>
    </row>
    <row r="189" spans="1:76" ht="14.4" x14ac:dyDescent="0.3">
      <c r="A189" s="27" t="s">
        <v>43</v>
      </c>
      <c r="B189" s="28" t="s">
        <v>577</v>
      </c>
      <c r="C189" s="98" t="s">
        <v>578</v>
      </c>
      <c r="D189" s="99"/>
      <c r="E189" s="29" t="s">
        <v>3</v>
      </c>
      <c r="F189" s="29" t="s">
        <v>3</v>
      </c>
      <c r="G189" s="29" t="s">
        <v>3</v>
      </c>
      <c r="H189" s="1">
        <f>ROUND(SUM(H190:H201),2)</f>
        <v>0</v>
      </c>
      <c r="I189" s="1">
        <f>ROUND(SUM(I190:I201),2)</f>
        <v>0</v>
      </c>
      <c r="J189" s="1">
        <f>ROUND(SUM(J190:J201),2)</f>
        <v>0</v>
      </c>
      <c r="K189" s="30"/>
      <c r="AI189" s="10" t="s">
        <v>43</v>
      </c>
      <c r="AS189" s="1">
        <f>SUM(AJ190:AJ201)</f>
        <v>0</v>
      </c>
      <c r="AT189" s="1">
        <f>SUM(AK190:AK201)</f>
        <v>0</v>
      </c>
      <c r="AU189" s="1">
        <f>SUM(AL190:AL201)</f>
        <v>0</v>
      </c>
    </row>
    <row r="190" spans="1:76" ht="26.4" x14ac:dyDescent="0.3">
      <c r="A190" s="2" t="s">
        <v>579</v>
      </c>
      <c r="B190" s="3" t="s">
        <v>580</v>
      </c>
      <c r="C190" s="82" t="s">
        <v>581</v>
      </c>
      <c r="D190" s="81"/>
      <c r="E190" s="3" t="s">
        <v>174</v>
      </c>
      <c r="F190" s="24">
        <v>1</v>
      </c>
      <c r="G190" s="180">
        <v>0</v>
      </c>
      <c r="H190" s="24">
        <f t="shared" ref="H190:H201" si="274">ROUND(F190*AO190,2)</f>
        <v>0</v>
      </c>
      <c r="I190" s="24">
        <f t="shared" ref="I190:I201" si="275">ROUND(F190*AP190,2)</f>
        <v>0</v>
      </c>
      <c r="J190" s="24">
        <f t="shared" ref="J190:J201" si="276">ROUND(F190*G190,2)</f>
        <v>0</v>
      </c>
      <c r="K190" s="25"/>
      <c r="Z190" s="24">
        <f t="shared" ref="Z190:Z201" si="277">ROUND(IF(AQ190="5",BJ190,0),2)</f>
        <v>0</v>
      </c>
      <c r="AB190" s="24">
        <f t="shared" ref="AB190:AB201" si="278">ROUND(IF(AQ190="1",BH190,0),2)</f>
        <v>0</v>
      </c>
      <c r="AC190" s="24">
        <f t="shared" ref="AC190:AC201" si="279">ROUND(IF(AQ190="1",BI190,0),2)</f>
        <v>0</v>
      </c>
      <c r="AD190" s="24">
        <f t="shared" ref="AD190:AD201" si="280">ROUND(IF(AQ190="7",BH190,0),2)</f>
        <v>0</v>
      </c>
      <c r="AE190" s="24">
        <f t="shared" ref="AE190:AE201" si="281">ROUND(IF(AQ190="7",BI190,0),2)</f>
        <v>0</v>
      </c>
      <c r="AF190" s="24">
        <f t="shared" ref="AF190:AF201" si="282">ROUND(IF(AQ190="2",BH190,0),2)</f>
        <v>0</v>
      </c>
      <c r="AG190" s="24">
        <f t="shared" ref="AG190:AG201" si="283">ROUND(IF(AQ190="2",BI190,0),2)</f>
        <v>0</v>
      </c>
      <c r="AH190" s="24">
        <f t="shared" ref="AH190:AH201" si="284">ROUND(IF(AQ190="0",BJ190,0),2)</f>
        <v>0</v>
      </c>
      <c r="AI190" s="10" t="s">
        <v>43</v>
      </c>
      <c r="AJ190" s="24">
        <f t="shared" ref="AJ190:AJ201" si="285">IF(AN190=0,J190,0)</f>
        <v>0</v>
      </c>
      <c r="AK190" s="24">
        <f t="shared" ref="AK190:AK201" si="286">IF(AN190=12,J190,0)</f>
        <v>0</v>
      </c>
      <c r="AL190" s="24">
        <f t="shared" ref="AL190:AL201" si="287">IF(AN190=21,J190,0)</f>
        <v>0</v>
      </c>
      <c r="AN190" s="24">
        <v>21</v>
      </c>
      <c r="AO190" s="24">
        <f>G190*0.869565217</f>
        <v>0</v>
      </c>
      <c r="AP190" s="24">
        <f>G190*(1-0.869565217)</f>
        <v>0</v>
      </c>
      <c r="AQ190" s="26" t="s">
        <v>54</v>
      </c>
      <c r="AV190" s="24">
        <f t="shared" ref="AV190:AV201" si="288">ROUND(AW190+AX190,2)</f>
        <v>0</v>
      </c>
      <c r="AW190" s="24">
        <f t="shared" ref="AW190:AW201" si="289">ROUND(F190*AO190,2)</f>
        <v>0</v>
      </c>
      <c r="AX190" s="24">
        <f t="shared" ref="AX190:AX201" si="290">ROUND(F190*AP190,2)</f>
        <v>0</v>
      </c>
      <c r="AY190" s="26" t="s">
        <v>582</v>
      </c>
      <c r="AZ190" s="26" t="s">
        <v>427</v>
      </c>
      <c r="BA190" s="10" t="s">
        <v>52</v>
      </c>
      <c r="BC190" s="24">
        <f t="shared" ref="BC190:BC201" si="291">AW190+AX190</f>
        <v>0</v>
      </c>
      <c r="BD190" s="24">
        <f t="shared" ref="BD190:BD201" si="292">G190/(100-BE190)*100</f>
        <v>0</v>
      </c>
      <c r="BE190" s="24">
        <v>0</v>
      </c>
      <c r="BF190" s="24">
        <f>187</f>
        <v>187</v>
      </c>
      <c r="BH190" s="24">
        <f t="shared" ref="BH190:BH201" si="293">F190*AO190</f>
        <v>0</v>
      </c>
      <c r="BI190" s="24">
        <f t="shared" ref="BI190:BI201" si="294">F190*AP190</f>
        <v>0</v>
      </c>
      <c r="BJ190" s="24">
        <f t="shared" ref="BJ190:BJ201" si="295">F190*G190</f>
        <v>0</v>
      </c>
      <c r="BK190" s="26" t="s">
        <v>53</v>
      </c>
      <c r="BL190" s="24"/>
      <c r="BW190" s="24">
        <v>21</v>
      </c>
      <c r="BX190" s="4" t="s">
        <v>581</v>
      </c>
    </row>
    <row r="191" spans="1:76" ht="26.4" x14ac:dyDescent="0.3">
      <c r="A191" s="2" t="s">
        <v>583</v>
      </c>
      <c r="B191" s="3" t="s">
        <v>584</v>
      </c>
      <c r="C191" s="82" t="s">
        <v>585</v>
      </c>
      <c r="D191" s="81"/>
      <c r="E191" s="3" t="s">
        <v>174</v>
      </c>
      <c r="F191" s="24">
        <v>2</v>
      </c>
      <c r="G191" s="180">
        <v>0</v>
      </c>
      <c r="H191" s="24">
        <f t="shared" si="274"/>
        <v>0</v>
      </c>
      <c r="I191" s="24">
        <f t="shared" si="275"/>
        <v>0</v>
      </c>
      <c r="J191" s="24">
        <f t="shared" si="276"/>
        <v>0</v>
      </c>
      <c r="K191" s="25"/>
      <c r="Z191" s="24">
        <f t="shared" si="277"/>
        <v>0</v>
      </c>
      <c r="AB191" s="24">
        <f t="shared" si="278"/>
        <v>0</v>
      </c>
      <c r="AC191" s="24">
        <f t="shared" si="279"/>
        <v>0</v>
      </c>
      <c r="AD191" s="24">
        <f t="shared" si="280"/>
        <v>0</v>
      </c>
      <c r="AE191" s="24">
        <f t="shared" si="281"/>
        <v>0</v>
      </c>
      <c r="AF191" s="24">
        <f t="shared" si="282"/>
        <v>0</v>
      </c>
      <c r="AG191" s="24">
        <f t="shared" si="283"/>
        <v>0</v>
      </c>
      <c r="AH191" s="24">
        <f t="shared" si="284"/>
        <v>0</v>
      </c>
      <c r="AI191" s="10" t="s">
        <v>43</v>
      </c>
      <c r="AJ191" s="24">
        <f t="shared" si="285"/>
        <v>0</v>
      </c>
      <c r="AK191" s="24">
        <f t="shared" si="286"/>
        <v>0</v>
      </c>
      <c r="AL191" s="24">
        <f t="shared" si="287"/>
        <v>0</v>
      </c>
      <c r="AN191" s="24">
        <v>21</v>
      </c>
      <c r="AO191" s="24">
        <f>G191*0.869565217</f>
        <v>0</v>
      </c>
      <c r="AP191" s="24">
        <f>G191*(1-0.869565217)</f>
        <v>0</v>
      </c>
      <c r="AQ191" s="26" t="s">
        <v>54</v>
      </c>
      <c r="AV191" s="24">
        <f t="shared" si="288"/>
        <v>0</v>
      </c>
      <c r="AW191" s="24">
        <f t="shared" si="289"/>
        <v>0</v>
      </c>
      <c r="AX191" s="24">
        <f t="shared" si="290"/>
        <v>0</v>
      </c>
      <c r="AY191" s="26" t="s">
        <v>582</v>
      </c>
      <c r="AZ191" s="26" t="s">
        <v>427</v>
      </c>
      <c r="BA191" s="10" t="s">
        <v>52</v>
      </c>
      <c r="BC191" s="24">
        <f t="shared" si="291"/>
        <v>0</v>
      </c>
      <c r="BD191" s="24">
        <f t="shared" si="292"/>
        <v>0</v>
      </c>
      <c r="BE191" s="24">
        <v>0</v>
      </c>
      <c r="BF191" s="24">
        <f>188</f>
        <v>188</v>
      </c>
      <c r="BH191" s="24">
        <f t="shared" si="293"/>
        <v>0</v>
      </c>
      <c r="BI191" s="24">
        <f t="shared" si="294"/>
        <v>0</v>
      </c>
      <c r="BJ191" s="24">
        <f t="shared" si="295"/>
        <v>0</v>
      </c>
      <c r="BK191" s="26" t="s">
        <v>53</v>
      </c>
      <c r="BL191" s="24"/>
      <c r="BW191" s="24">
        <v>21</v>
      </c>
      <c r="BX191" s="4" t="s">
        <v>585</v>
      </c>
    </row>
    <row r="192" spans="1:76" ht="14.4" x14ac:dyDescent="0.3">
      <c r="A192" s="2" t="s">
        <v>586</v>
      </c>
      <c r="B192" s="3" t="s">
        <v>587</v>
      </c>
      <c r="C192" s="82" t="s">
        <v>588</v>
      </c>
      <c r="D192" s="81"/>
      <c r="E192" s="3" t="s">
        <v>174</v>
      </c>
      <c r="F192" s="24">
        <v>1</v>
      </c>
      <c r="G192" s="180">
        <v>0</v>
      </c>
      <c r="H192" s="24">
        <f t="shared" si="274"/>
        <v>0</v>
      </c>
      <c r="I192" s="24">
        <f t="shared" si="275"/>
        <v>0</v>
      </c>
      <c r="J192" s="24">
        <f t="shared" si="276"/>
        <v>0</v>
      </c>
      <c r="K192" s="25"/>
      <c r="Z192" s="24">
        <f t="shared" si="277"/>
        <v>0</v>
      </c>
      <c r="AB192" s="24">
        <f t="shared" si="278"/>
        <v>0</v>
      </c>
      <c r="AC192" s="24">
        <f t="shared" si="279"/>
        <v>0</v>
      </c>
      <c r="AD192" s="24">
        <f t="shared" si="280"/>
        <v>0</v>
      </c>
      <c r="AE192" s="24">
        <f t="shared" si="281"/>
        <v>0</v>
      </c>
      <c r="AF192" s="24">
        <f t="shared" si="282"/>
        <v>0</v>
      </c>
      <c r="AG192" s="24">
        <f t="shared" si="283"/>
        <v>0</v>
      </c>
      <c r="AH192" s="24">
        <f t="shared" si="284"/>
        <v>0</v>
      </c>
      <c r="AI192" s="10" t="s">
        <v>43</v>
      </c>
      <c r="AJ192" s="24">
        <f t="shared" si="285"/>
        <v>0</v>
      </c>
      <c r="AK192" s="24">
        <f t="shared" si="286"/>
        <v>0</v>
      </c>
      <c r="AL192" s="24">
        <f t="shared" si="287"/>
        <v>0</v>
      </c>
      <c r="AN192" s="24">
        <v>21</v>
      </c>
      <c r="AO192" s="24">
        <f>G192*0.869565217</f>
        <v>0</v>
      </c>
      <c r="AP192" s="24">
        <f>G192*(1-0.869565217)</f>
        <v>0</v>
      </c>
      <c r="AQ192" s="26" t="s">
        <v>54</v>
      </c>
      <c r="AV192" s="24">
        <f t="shared" si="288"/>
        <v>0</v>
      </c>
      <c r="AW192" s="24">
        <f t="shared" si="289"/>
        <v>0</v>
      </c>
      <c r="AX192" s="24">
        <f t="shared" si="290"/>
        <v>0</v>
      </c>
      <c r="AY192" s="26" t="s">
        <v>582</v>
      </c>
      <c r="AZ192" s="26" t="s">
        <v>427</v>
      </c>
      <c r="BA192" s="10" t="s">
        <v>52</v>
      </c>
      <c r="BC192" s="24">
        <f t="shared" si="291"/>
        <v>0</v>
      </c>
      <c r="BD192" s="24">
        <f t="shared" si="292"/>
        <v>0</v>
      </c>
      <c r="BE192" s="24">
        <v>0</v>
      </c>
      <c r="BF192" s="24">
        <f>189</f>
        <v>189</v>
      </c>
      <c r="BH192" s="24">
        <f t="shared" si="293"/>
        <v>0</v>
      </c>
      <c r="BI192" s="24">
        <f t="shared" si="294"/>
        <v>0</v>
      </c>
      <c r="BJ192" s="24">
        <f t="shared" si="295"/>
        <v>0</v>
      </c>
      <c r="BK192" s="26" t="s">
        <v>53</v>
      </c>
      <c r="BL192" s="24"/>
      <c r="BW192" s="24">
        <v>21</v>
      </c>
      <c r="BX192" s="4" t="s">
        <v>588</v>
      </c>
    </row>
    <row r="193" spans="1:76" ht="14.4" x14ac:dyDescent="0.3">
      <c r="A193" s="2" t="s">
        <v>589</v>
      </c>
      <c r="B193" s="3" t="s">
        <v>590</v>
      </c>
      <c r="C193" s="82" t="s">
        <v>591</v>
      </c>
      <c r="D193" s="81"/>
      <c r="E193" s="3" t="s">
        <v>174</v>
      </c>
      <c r="F193" s="24">
        <v>1</v>
      </c>
      <c r="G193" s="180">
        <v>0</v>
      </c>
      <c r="H193" s="24">
        <f t="shared" si="274"/>
        <v>0</v>
      </c>
      <c r="I193" s="24">
        <f t="shared" si="275"/>
        <v>0</v>
      </c>
      <c r="J193" s="24">
        <f t="shared" si="276"/>
        <v>0</v>
      </c>
      <c r="K193" s="25"/>
      <c r="Z193" s="24">
        <f t="shared" si="277"/>
        <v>0</v>
      </c>
      <c r="AB193" s="24">
        <f t="shared" si="278"/>
        <v>0</v>
      </c>
      <c r="AC193" s="24">
        <f t="shared" si="279"/>
        <v>0</v>
      </c>
      <c r="AD193" s="24">
        <f t="shared" si="280"/>
        <v>0</v>
      </c>
      <c r="AE193" s="24">
        <f t="shared" si="281"/>
        <v>0</v>
      </c>
      <c r="AF193" s="24">
        <f t="shared" si="282"/>
        <v>0</v>
      </c>
      <c r="AG193" s="24">
        <f t="shared" si="283"/>
        <v>0</v>
      </c>
      <c r="AH193" s="24">
        <f t="shared" si="284"/>
        <v>0</v>
      </c>
      <c r="AI193" s="10" t="s">
        <v>43</v>
      </c>
      <c r="AJ193" s="24">
        <f t="shared" si="285"/>
        <v>0</v>
      </c>
      <c r="AK193" s="24">
        <f t="shared" si="286"/>
        <v>0</v>
      </c>
      <c r="AL193" s="24">
        <f t="shared" si="287"/>
        <v>0</v>
      </c>
      <c r="AN193" s="24">
        <v>21</v>
      </c>
      <c r="AO193" s="24">
        <f t="shared" ref="AO193:AO200" si="296">G193*0.769230769</f>
        <v>0</v>
      </c>
      <c r="AP193" s="24">
        <f t="shared" ref="AP193:AP200" si="297">G193*(1-0.769230769)</f>
        <v>0</v>
      </c>
      <c r="AQ193" s="26" t="s">
        <v>54</v>
      </c>
      <c r="AV193" s="24">
        <f t="shared" si="288"/>
        <v>0</v>
      </c>
      <c r="AW193" s="24">
        <f t="shared" si="289"/>
        <v>0</v>
      </c>
      <c r="AX193" s="24">
        <f t="shared" si="290"/>
        <v>0</v>
      </c>
      <c r="AY193" s="26" t="s">
        <v>582</v>
      </c>
      <c r="AZ193" s="26" t="s">
        <v>427</v>
      </c>
      <c r="BA193" s="10" t="s">
        <v>52</v>
      </c>
      <c r="BC193" s="24">
        <f t="shared" si="291"/>
        <v>0</v>
      </c>
      <c r="BD193" s="24">
        <f t="shared" si="292"/>
        <v>0</v>
      </c>
      <c r="BE193" s="24">
        <v>0</v>
      </c>
      <c r="BF193" s="24">
        <f>190</f>
        <v>190</v>
      </c>
      <c r="BH193" s="24">
        <f t="shared" si="293"/>
        <v>0</v>
      </c>
      <c r="BI193" s="24">
        <f t="shared" si="294"/>
        <v>0</v>
      </c>
      <c r="BJ193" s="24">
        <f t="shared" si="295"/>
        <v>0</v>
      </c>
      <c r="BK193" s="26" t="s">
        <v>53</v>
      </c>
      <c r="BL193" s="24"/>
      <c r="BW193" s="24">
        <v>21</v>
      </c>
      <c r="BX193" s="4" t="s">
        <v>591</v>
      </c>
    </row>
    <row r="194" spans="1:76" ht="14.4" x14ac:dyDescent="0.3">
      <c r="A194" s="2" t="s">
        <v>592</v>
      </c>
      <c r="B194" s="3" t="s">
        <v>593</v>
      </c>
      <c r="C194" s="82" t="s">
        <v>594</v>
      </c>
      <c r="D194" s="81"/>
      <c r="E194" s="3" t="s">
        <v>558</v>
      </c>
      <c r="F194" s="24">
        <v>20</v>
      </c>
      <c r="G194" s="180">
        <v>0</v>
      </c>
      <c r="H194" s="24">
        <f t="shared" si="274"/>
        <v>0</v>
      </c>
      <c r="I194" s="24">
        <f t="shared" si="275"/>
        <v>0</v>
      </c>
      <c r="J194" s="24">
        <f t="shared" si="276"/>
        <v>0</v>
      </c>
      <c r="K194" s="25"/>
      <c r="Z194" s="24">
        <f t="shared" si="277"/>
        <v>0</v>
      </c>
      <c r="AB194" s="24">
        <f t="shared" si="278"/>
        <v>0</v>
      </c>
      <c r="AC194" s="24">
        <f t="shared" si="279"/>
        <v>0</v>
      </c>
      <c r="AD194" s="24">
        <f t="shared" si="280"/>
        <v>0</v>
      </c>
      <c r="AE194" s="24">
        <f t="shared" si="281"/>
        <v>0</v>
      </c>
      <c r="AF194" s="24">
        <f t="shared" si="282"/>
        <v>0</v>
      </c>
      <c r="AG194" s="24">
        <f t="shared" si="283"/>
        <v>0</v>
      </c>
      <c r="AH194" s="24">
        <f t="shared" si="284"/>
        <v>0</v>
      </c>
      <c r="AI194" s="10" t="s">
        <v>43</v>
      </c>
      <c r="AJ194" s="24">
        <f t="shared" si="285"/>
        <v>0</v>
      </c>
      <c r="AK194" s="24">
        <f t="shared" si="286"/>
        <v>0</v>
      </c>
      <c r="AL194" s="24">
        <f t="shared" si="287"/>
        <v>0</v>
      </c>
      <c r="AN194" s="24">
        <v>21</v>
      </c>
      <c r="AO194" s="24">
        <f t="shared" si="296"/>
        <v>0</v>
      </c>
      <c r="AP194" s="24">
        <f t="shared" si="297"/>
        <v>0</v>
      </c>
      <c r="AQ194" s="26" t="s">
        <v>54</v>
      </c>
      <c r="AV194" s="24">
        <f t="shared" si="288"/>
        <v>0</v>
      </c>
      <c r="AW194" s="24">
        <f t="shared" si="289"/>
        <v>0</v>
      </c>
      <c r="AX194" s="24">
        <f t="shared" si="290"/>
        <v>0</v>
      </c>
      <c r="AY194" s="26" t="s">
        <v>582</v>
      </c>
      <c r="AZ194" s="26" t="s">
        <v>427</v>
      </c>
      <c r="BA194" s="10" t="s">
        <v>52</v>
      </c>
      <c r="BC194" s="24">
        <f t="shared" si="291"/>
        <v>0</v>
      </c>
      <c r="BD194" s="24">
        <f t="shared" si="292"/>
        <v>0</v>
      </c>
      <c r="BE194" s="24">
        <v>0</v>
      </c>
      <c r="BF194" s="24">
        <f>191</f>
        <v>191</v>
      </c>
      <c r="BH194" s="24">
        <f t="shared" si="293"/>
        <v>0</v>
      </c>
      <c r="BI194" s="24">
        <f t="shared" si="294"/>
        <v>0</v>
      </c>
      <c r="BJ194" s="24">
        <f t="shared" si="295"/>
        <v>0</v>
      </c>
      <c r="BK194" s="26" t="s">
        <v>53</v>
      </c>
      <c r="BL194" s="24"/>
      <c r="BW194" s="24">
        <v>21</v>
      </c>
      <c r="BX194" s="4" t="s">
        <v>594</v>
      </c>
    </row>
    <row r="195" spans="1:76" ht="26.4" x14ac:dyDescent="0.3">
      <c r="A195" s="2" t="s">
        <v>595</v>
      </c>
      <c r="B195" s="3" t="s">
        <v>596</v>
      </c>
      <c r="C195" s="82" t="s">
        <v>597</v>
      </c>
      <c r="D195" s="81"/>
      <c r="E195" s="3" t="s">
        <v>174</v>
      </c>
      <c r="F195" s="24">
        <v>1</v>
      </c>
      <c r="G195" s="180">
        <v>0</v>
      </c>
      <c r="H195" s="24">
        <f t="shared" si="274"/>
        <v>0</v>
      </c>
      <c r="I195" s="24">
        <f t="shared" si="275"/>
        <v>0</v>
      </c>
      <c r="J195" s="24">
        <f t="shared" si="276"/>
        <v>0</v>
      </c>
      <c r="K195" s="25"/>
      <c r="Z195" s="24">
        <f t="shared" si="277"/>
        <v>0</v>
      </c>
      <c r="AB195" s="24">
        <f t="shared" si="278"/>
        <v>0</v>
      </c>
      <c r="AC195" s="24">
        <f t="shared" si="279"/>
        <v>0</v>
      </c>
      <c r="AD195" s="24">
        <f t="shared" si="280"/>
        <v>0</v>
      </c>
      <c r="AE195" s="24">
        <f t="shared" si="281"/>
        <v>0</v>
      </c>
      <c r="AF195" s="24">
        <f t="shared" si="282"/>
        <v>0</v>
      </c>
      <c r="AG195" s="24">
        <f t="shared" si="283"/>
        <v>0</v>
      </c>
      <c r="AH195" s="24">
        <f t="shared" si="284"/>
        <v>0</v>
      </c>
      <c r="AI195" s="10" t="s">
        <v>43</v>
      </c>
      <c r="AJ195" s="24">
        <f t="shared" si="285"/>
        <v>0</v>
      </c>
      <c r="AK195" s="24">
        <f t="shared" si="286"/>
        <v>0</v>
      </c>
      <c r="AL195" s="24">
        <f t="shared" si="287"/>
        <v>0</v>
      </c>
      <c r="AN195" s="24">
        <v>21</v>
      </c>
      <c r="AO195" s="24">
        <f t="shared" si="296"/>
        <v>0</v>
      </c>
      <c r="AP195" s="24">
        <f t="shared" si="297"/>
        <v>0</v>
      </c>
      <c r="AQ195" s="26" t="s">
        <v>54</v>
      </c>
      <c r="AV195" s="24">
        <f t="shared" si="288"/>
        <v>0</v>
      </c>
      <c r="AW195" s="24">
        <f t="shared" si="289"/>
        <v>0</v>
      </c>
      <c r="AX195" s="24">
        <f t="shared" si="290"/>
        <v>0</v>
      </c>
      <c r="AY195" s="26" t="s">
        <v>582</v>
      </c>
      <c r="AZ195" s="26" t="s">
        <v>427</v>
      </c>
      <c r="BA195" s="10" t="s">
        <v>52</v>
      </c>
      <c r="BC195" s="24">
        <f t="shared" si="291"/>
        <v>0</v>
      </c>
      <c r="BD195" s="24">
        <f t="shared" si="292"/>
        <v>0</v>
      </c>
      <c r="BE195" s="24">
        <v>0</v>
      </c>
      <c r="BF195" s="24">
        <f>192</f>
        <v>192</v>
      </c>
      <c r="BH195" s="24">
        <f t="shared" si="293"/>
        <v>0</v>
      </c>
      <c r="BI195" s="24">
        <f t="shared" si="294"/>
        <v>0</v>
      </c>
      <c r="BJ195" s="24">
        <f t="shared" si="295"/>
        <v>0</v>
      </c>
      <c r="BK195" s="26" t="s">
        <v>53</v>
      </c>
      <c r="BL195" s="24"/>
      <c r="BW195" s="24">
        <v>21</v>
      </c>
      <c r="BX195" s="4" t="s">
        <v>597</v>
      </c>
    </row>
    <row r="196" spans="1:76" ht="14.4" x14ac:dyDescent="0.3">
      <c r="A196" s="2" t="s">
        <v>598</v>
      </c>
      <c r="B196" s="3" t="s">
        <v>599</v>
      </c>
      <c r="C196" s="82" t="s">
        <v>600</v>
      </c>
      <c r="D196" s="81"/>
      <c r="E196" s="3" t="s">
        <v>174</v>
      </c>
      <c r="F196" s="24">
        <v>1</v>
      </c>
      <c r="G196" s="180">
        <v>0</v>
      </c>
      <c r="H196" s="24">
        <f t="shared" si="274"/>
        <v>0</v>
      </c>
      <c r="I196" s="24">
        <f t="shared" si="275"/>
        <v>0</v>
      </c>
      <c r="J196" s="24">
        <f t="shared" si="276"/>
        <v>0</v>
      </c>
      <c r="K196" s="25"/>
      <c r="Z196" s="24">
        <f t="shared" si="277"/>
        <v>0</v>
      </c>
      <c r="AB196" s="24">
        <f t="shared" si="278"/>
        <v>0</v>
      </c>
      <c r="AC196" s="24">
        <f t="shared" si="279"/>
        <v>0</v>
      </c>
      <c r="AD196" s="24">
        <f t="shared" si="280"/>
        <v>0</v>
      </c>
      <c r="AE196" s="24">
        <f t="shared" si="281"/>
        <v>0</v>
      </c>
      <c r="AF196" s="24">
        <f t="shared" si="282"/>
        <v>0</v>
      </c>
      <c r="AG196" s="24">
        <f t="shared" si="283"/>
        <v>0</v>
      </c>
      <c r="AH196" s="24">
        <f t="shared" si="284"/>
        <v>0</v>
      </c>
      <c r="AI196" s="10" t="s">
        <v>43</v>
      </c>
      <c r="AJ196" s="24">
        <f t="shared" si="285"/>
        <v>0</v>
      </c>
      <c r="AK196" s="24">
        <f t="shared" si="286"/>
        <v>0</v>
      </c>
      <c r="AL196" s="24">
        <f t="shared" si="287"/>
        <v>0</v>
      </c>
      <c r="AN196" s="24">
        <v>21</v>
      </c>
      <c r="AO196" s="24">
        <f t="shared" si="296"/>
        <v>0</v>
      </c>
      <c r="AP196" s="24">
        <f t="shared" si="297"/>
        <v>0</v>
      </c>
      <c r="AQ196" s="26" t="s">
        <v>54</v>
      </c>
      <c r="AV196" s="24">
        <f t="shared" si="288"/>
        <v>0</v>
      </c>
      <c r="AW196" s="24">
        <f t="shared" si="289"/>
        <v>0</v>
      </c>
      <c r="AX196" s="24">
        <f t="shared" si="290"/>
        <v>0</v>
      </c>
      <c r="AY196" s="26" t="s">
        <v>582</v>
      </c>
      <c r="AZ196" s="26" t="s">
        <v>427</v>
      </c>
      <c r="BA196" s="10" t="s">
        <v>52</v>
      </c>
      <c r="BC196" s="24">
        <f t="shared" si="291"/>
        <v>0</v>
      </c>
      <c r="BD196" s="24">
        <f t="shared" si="292"/>
        <v>0</v>
      </c>
      <c r="BE196" s="24">
        <v>0</v>
      </c>
      <c r="BF196" s="24">
        <f>193</f>
        <v>193</v>
      </c>
      <c r="BH196" s="24">
        <f t="shared" si="293"/>
        <v>0</v>
      </c>
      <c r="BI196" s="24">
        <f t="shared" si="294"/>
        <v>0</v>
      </c>
      <c r="BJ196" s="24">
        <f t="shared" si="295"/>
        <v>0</v>
      </c>
      <c r="BK196" s="26" t="s">
        <v>53</v>
      </c>
      <c r="BL196" s="24"/>
      <c r="BW196" s="24">
        <v>21</v>
      </c>
      <c r="BX196" s="4" t="s">
        <v>600</v>
      </c>
    </row>
    <row r="197" spans="1:76" ht="14.4" x14ac:dyDescent="0.3">
      <c r="A197" s="2" t="s">
        <v>601</v>
      </c>
      <c r="B197" s="3" t="s">
        <v>602</v>
      </c>
      <c r="C197" s="82" t="s">
        <v>603</v>
      </c>
      <c r="D197" s="81"/>
      <c r="E197" s="3" t="s">
        <v>174</v>
      </c>
      <c r="F197" s="24">
        <v>1</v>
      </c>
      <c r="G197" s="180">
        <v>0</v>
      </c>
      <c r="H197" s="24">
        <f t="shared" si="274"/>
        <v>0</v>
      </c>
      <c r="I197" s="24">
        <f t="shared" si="275"/>
        <v>0</v>
      </c>
      <c r="J197" s="24">
        <f t="shared" si="276"/>
        <v>0</v>
      </c>
      <c r="K197" s="25"/>
      <c r="Z197" s="24">
        <f t="shared" si="277"/>
        <v>0</v>
      </c>
      <c r="AB197" s="24">
        <f t="shared" si="278"/>
        <v>0</v>
      </c>
      <c r="AC197" s="24">
        <f t="shared" si="279"/>
        <v>0</v>
      </c>
      <c r="AD197" s="24">
        <f t="shared" si="280"/>
        <v>0</v>
      </c>
      <c r="AE197" s="24">
        <f t="shared" si="281"/>
        <v>0</v>
      </c>
      <c r="AF197" s="24">
        <f t="shared" si="282"/>
        <v>0</v>
      </c>
      <c r="AG197" s="24">
        <f t="shared" si="283"/>
        <v>0</v>
      </c>
      <c r="AH197" s="24">
        <f t="shared" si="284"/>
        <v>0</v>
      </c>
      <c r="AI197" s="10" t="s">
        <v>43</v>
      </c>
      <c r="AJ197" s="24">
        <f t="shared" si="285"/>
        <v>0</v>
      </c>
      <c r="AK197" s="24">
        <f t="shared" si="286"/>
        <v>0</v>
      </c>
      <c r="AL197" s="24">
        <f t="shared" si="287"/>
        <v>0</v>
      </c>
      <c r="AN197" s="24">
        <v>21</v>
      </c>
      <c r="AO197" s="24">
        <f t="shared" si="296"/>
        <v>0</v>
      </c>
      <c r="AP197" s="24">
        <f t="shared" si="297"/>
        <v>0</v>
      </c>
      <c r="AQ197" s="26" t="s">
        <v>54</v>
      </c>
      <c r="AV197" s="24">
        <f t="shared" si="288"/>
        <v>0</v>
      </c>
      <c r="AW197" s="24">
        <f t="shared" si="289"/>
        <v>0</v>
      </c>
      <c r="AX197" s="24">
        <f t="shared" si="290"/>
        <v>0</v>
      </c>
      <c r="AY197" s="26" t="s">
        <v>582</v>
      </c>
      <c r="AZ197" s="26" t="s">
        <v>427</v>
      </c>
      <c r="BA197" s="10" t="s">
        <v>52</v>
      </c>
      <c r="BC197" s="24">
        <f t="shared" si="291"/>
        <v>0</v>
      </c>
      <c r="BD197" s="24">
        <f t="shared" si="292"/>
        <v>0</v>
      </c>
      <c r="BE197" s="24">
        <v>0</v>
      </c>
      <c r="BF197" s="24">
        <f>194</f>
        <v>194</v>
      </c>
      <c r="BH197" s="24">
        <f t="shared" si="293"/>
        <v>0</v>
      </c>
      <c r="BI197" s="24">
        <f t="shared" si="294"/>
        <v>0</v>
      </c>
      <c r="BJ197" s="24">
        <f t="shared" si="295"/>
        <v>0</v>
      </c>
      <c r="BK197" s="26" t="s">
        <v>53</v>
      </c>
      <c r="BL197" s="24"/>
      <c r="BW197" s="24">
        <v>21</v>
      </c>
      <c r="BX197" s="4" t="s">
        <v>603</v>
      </c>
    </row>
    <row r="198" spans="1:76" ht="14.4" x14ac:dyDescent="0.3">
      <c r="A198" s="2" t="s">
        <v>604</v>
      </c>
      <c r="B198" s="3" t="s">
        <v>605</v>
      </c>
      <c r="C198" s="82" t="s">
        <v>606</v>
      </c>
      <c r="D198" s="81"/>
      <c r="E198" s="3" t="s">
        <v>558</v>
      </c>
      <c r="F198" s="24">
        <v>35</v>
      </c>
      <c r="G198" s="180">
        <v>0</v>
      </c>
      <c r="H198" s="24">
        <f t="shared" si="274"/>
        <v>0</v>
      </c>
      <c r="I198" s="24">
        <f t="shared" si="275"/>
        <v>0</v>
      </c>
      <c r="J198" s="24">
        <f t="shared" si="276"/>
        <v>0</v>
      </c>
      <c r="K198" s="25"/>
      <c r="Z198" s="24">
        <f t="shared" si="277"/>
        <v>0</v>
      </c>
      <c r="AB198" s="24">
        <f t="shared" si="278"/>
        <v>0</v>
      </c>
      <c r="AC198" s="24">
        <f t="shared" si="279"/>
        <v>0</v>
      </c>
      <c r="AD198" s="24">
        <f t="shared" si="280"/>
        <v>0</v>
      </c>
      <c r="AE198" s="24">
        <f t="shared" si="281"/>
        <v>0</v>
      </c>
      <c r="AF198" s="24">
        <f t="shared" si="282"/>
        <v>0</v>
      </c>
      <c r="AG198" s="24">
        <f t="shared" si="283"/>
        <v>0</v>
      </c>
      <c r="AH198" s="24">
        <f t="shared" si="284"/>
        <v>0</v>
      </c>
      <c r="AI198" s="10" t="s">
        <v>43</v>
      </c>
      <c r="AJ198" s="24">
        <f t="shared" si="285"/>
        <v>0</v>
      </c>
      <c r="AK198" s="24">
        <f t="shared" si="286"/>
        <v>0</v>
      </c>
      <c r="AL198" s="24">
        <f t="shared" si="287"/>
        <v>0</v>
      </c>
      <c r="AN198" s="24">
        <v>21</v>
      </c>
      <c r="AO198" s="24">
        <f t="shared" si="296"/>
        <v>0</v>
      </c>
      <c r="AP198" s="24">
        <f t="shared" si="297"/>
        <v>0</v>
      </c>
      <c r="AQ198" s="26" t="s">
        <v>54</v>
      </c>
      <c r="AV198" s="24">
        <f t="shared" si="288"/>
        <v>0</v>
      </c>
      <c r="AW198" s="24">
        <f t="shared" si="289"/>
        <v>0</v>
      </c>
      <c r="AX198" s="24">
        <f t="shared" si="290"/>
        <v>0</v>
      </c>
      <c r="AY198" s="26" t="s">
        <v>582</v>
      </c>
      <c r="AZ198" s="26" t="s">
        <v>427</v>
      </c>
      <c r="BA198" s="10" t="s">
        <v>52</v>
      </c>
      <c r="BC198" s="24">
        <f t="shared" si="291"/>
        <v>0</v>
      </c>
      <c r="BD198" s="24">
        <f t="shared" si="292"/>
        <v>0</v>
      </c>
      <c r="BE198" s="24">
        <v>0</v>
      </c>
      <c r="BF198" s="24">
        <f>195</f>
        <v>195</v>
      </c>
      <c r="BH198" s="24">
        <f t="shared" si="293"/>
        <v>0</v>
      </c>
      <c r="BI198" s="24">
        <f t="shared" si="294"/>
        <v>0</v>
      </c>
      <c r="BJ198" s="24">
        <f t="shared" si="295"/>
        <v>0</v>
      </c>
      <c r="BK198" s="26" t="s">
        <v>53</v>
      </c>
      <c r="BL198" s="24"/>
      <c r="BW198" s="24">
        <v>21</v>
      </c>
      <c r="BX198" s="4" t="s">
        <v>606</v>
      </c>
    </row>
    <row r="199" spans="1:76" ht="14.4" x14ac:dyDescent="0.3">
      <c r="A199" s="2" t="s">
        <v>607</v>
      </c>
      <c r="B199" s="3" t="s">
        <v>608</v>
      </c>
      <c r="C199" s="82" t="s">
        <v>609</v>
      </c>
      <c r="D199" s="81"/>
      <c r="E199" s="3" t="s">
        <v>558</v>
      </c>
      <c r="F199" s="24">
        <v>20</v>
      </c>
      <c r="G199" s="180">
        <v>0</v>
      </c>
      <c r="H199" s="24">
        <f t="shared" si="274"/>
        <v>0</v>
      </c>
      <c r="I199" s="24">
        <f t="shared" si="275"/>
        <v>0</v>
      </c>
      <c r="J199" s="24">
        <f t="shared" si="276"/>
        <v>0</v>
      </c>
      <c r="K199" s="25"/>
      <c r="Z199" s="24">
        <f t="shared" si="277"/>
        <v>0</v>
      </c>
      <c r="AB199" s="24">
        <f t="shared" si="278"/>
        <v>0</v>
      </c>
      <c r="AC199" s="24">
        <f t="shared" si="279"/>
        <v>0</v>
      </c>
      <c r="AD199" s="24">
        <f t="shared" si="280"/>
        <v>0</v>
      </c>
      <c r="AE199" s="24">
        <f t="shared" si="281"/>
        <v>0</v>
      </c>
      <c r="AF199" s="24">
        <f t="shared" si="282"/>
        <v>0</v>
      </c>
      <c r="AG199" s="24">
        <f t="shared" si="283"/>
        <v>0</v>
      </c>
      <c r="AH199" s="24">
        <f t="shared" si="284"/>
        <v>0</v>
      </c>
      <c r="AI199" s="10" t="s">
        <v>43</v>
      </c>
      <c r="AJ199" s="24">
        <f t="shared" si="285"/>
        <v>0</v>
      </c>
      <c r="AK199" s="24">
        <f t="shared" si="286"/>
        <v>0</v>
      </c>
      <c r="AL199" s="24">
        <f t="shared" si="287"/>
        <v>0</v>
      </c>
      <c r="AN199" s="24">
        <v>21</v>
      </c>
      <c r="AO199" s="24">
        <f t="shared" si="296"/>
        <v>0</v>
      </c>
      <c r="AP199" s="24">
        <f t="shared" si="297"/>
        <v>0</v>
      </c>
      <c r="AQ199" s="26" t="s">
        <v>54</v>
      </c>
      <c r="AV199" s="24">
        <f t="shared" si="288"/>
        <v>0</v>
      </c>
      <c r="AW199" s="24">
        <f t="shared" si="289"/>
        <v>0</v>
      </c>
      <c r="AX199" s="24">
        <f t="shared" si="290"/>
        <v>0</v>
      </c>
      <c r="AY199" s="26" t="s">
        <v>582</v>
      </c>
      <c r="AZ199" s="26" t="s">
        <v>427</v>
      </c>
      <c r="BA199" s="10" t="s">
        <v>52</v>
      </c>
      <c r="BC199" s="24">
        <f t="shared" si="291"/>
        <v>0</v>
      </c>
      <c r="BD199" s="24">
        <f t="shared" si="292"/>
        <v>0</v>
      </c>
      <c r="BE199" s="24">
        <v>0</v>
      </c>
      <c r="BF199" s="24">
        <f>196</f>
        <v>196</v>
      </c>
      <c r="BH199" s="24">
        <f t="shared" si="293"/>
        <v>0</v>
      </c>
      <c r="BI199" s="24">
        <f t="shared" si="294"/>
        <v>0</v>
      </c>
      <c r="BJ199" s="24">
        <f t="shared" si="295"/>
        <v>0</v>
      </c>
      <c r="BK199" s="26" t="s">
        <v>53</v>
      </c>
      <c r="BL199" s="24"/>
      <c r="BW199" s="24">
        <v>21</v>
      </c>
      <c r="BX199" s="4" t="s">
        <v>609</v>
      </c>
    </row>
    <row r="200" spans="1:76" ht="14.4" x14ac:dyDescent="0.3">
      <c r="A200" s="2" t="s">
        <v>610</v>
      </c>
      <c r="B200" s="3" t="s">
        <v>611</v>
      </c>
      <c r="C200" s="82" t="s">
        <v>612</v>
      </c>
      <c r="D200" s="81"/>
      <c r="E200" s="3" t="s">
        <v>558</v>
      </c>
      <c r="F200" s="24">
        <v>1</v>
      </c>
      <c r="G200" s="180">
        <v>0</v>
      </c>
      <c r="H200" s="24">
        <f t="shared" si="274"/>
        <v>0</v>
      </c>
      <c r="I200" s="24">
        <f t="shared" si="275"/>
        <v>0</v>
      </c>
      <c r="J200" s="24">
        <f t="shared" si="276"/>
        <v>0</v>
      </c>
      <c r="K200" s="25"/>
      <c r="Z200" s="24">
        <f t="shared" si="277"/>
        <v>0</v>
      </c>
      <c r="AB200" s="24">
        <f t="shared" si="278"/>
        <v>0</v>
      </c>
      <c r="AC200" s="24">
        <f t="shared" si="279"/>
        <v>0</v>
      </c>
      <c r="AD200" s="24">
        <f t="shared" si="280"/>
        <v>0</v>
      </c>
      <c r="AE200" s="24">
        <f t="shared" si="281"/>
        <v>0</v>
      </c>
      <c r="AF200" s="24">
        <f t="shared" si="282"/>
        <v>0</v>
      </c>
      <c r="AG200" s="24">
        <f t="shared" si="283"/>
        <v>0</v>
      </c>
      <c r="AH200" s="24">
        <f t="shared" si="284"/>
        <v>0</v>
      </c>
      <c r="AI200" s="10" t="s">
        <v>43</v>
      </c>
      <c r="AJ200" s="24">
        <f t="shared" si="285"/>
        <v>0</v>
      </c>
      <c r="AK200" s="24">
        <f t="shared" si="286"/>
        <v>0</v>
      </c>
      <c r="AL200" s="24">
        <f t="shared" si="287"/>
        <v>0</v>
      </c>
      <c r="AN200" s="24">
        <v>21</v>
      </c>
      <c r="AO200" s="24">
        <f t="shared" si="296"/>
        <v>0</v>
      </c>
      <c r="AP200" s="24">
        <f t="shared" si="297"/>
        <v>0</v>
      </c>
      <c r="AQ200" s="26" t="s">
        <v>54</v>
      </c>
      <c r="AV200" s="24">
        <f t="shared" si="288"/>
        <v>0</v>
      </c>
      <c r="AW200" s="24">
        <f t="shared" si="289"/>
        <v>0</v>
      </c>
      <c r="AX200" s="24">
        <f t="shared" si="290"/>
        <v>0</v>
      </c>
      <c r="AY200" s="26" t="s">
        <v>582</v>
      </c>
      <c r="AZ200" s="26" t="s">
        <v>427</v>
      </c>
      <c r="BA200" s="10" t="s">
        <v>52</v>
      </c>
      <c r="BC200" s="24">
        <f t="shared" si="291"/>
        <v>0</v>
      </c>
      <c r="BD200" s="24">
        <f t="shared" si="292"/>
        <v>0</v>
      </c>
      <c r="BE200" s="24">
        <v>0</v>
      </c>
      <c r="BF200" s="24">
        <f>197</f>
        <v>197</v>
      </c>
      <c r="BH200" s="24">
        <f t="shared" si="293"/>
        <v>0</v>
      </c>
      <c r="BI200" s="24">
        <f t="shared" si="294"/>
        <v>0</v>
      </c>
      <c r="BJ200" s="24">
        <f t="shared" si="295"/>
        <v>0</v>
      </c>
      <c r="BK200" s="26" t="s">
        <v>53</v>
      </c>
      <c r="BL200" s="24"/>
      <c r="BW200" s="24">
        <v>21</v>
      </c>
      <c r="BX200" s="4" t="s">
        <v>612</v>
      </c>
    </row>
    <row r="201" spans="1:76" ht="14.4" x14ac:dyDescent="0.3">
      <c r="A201" s="2" t="s">
        <v>613</v>
      </c>
      <c r="B201" s="3" t="s">
        <v>614</v>
      </c>
      <c r="C201" s="82" t="s">
        <v>576</v>
      </c>
      <c r="D201" s="81"/>
      <c r="E201" s="3" t="s">
        <v>321</v>
      </c>
      <c r="F201" s="24">
        <v>25</v>
      </c>
      <c r="G201" s="180">
        <v>0</v>
      </c>
      <c r="H201" s="24">
        <f t="shared" si="274"/>
        <v>0</v>
      </c>
      <c r="I201" s="24">
        <f t="shared" si="275"/>
        <v>0</v>
      </c>
      <c r="J201" s="24">
        <f t="shared" si="276"/>
        <v>0</v>
      </c>
      <c r="K201" s="25"/>
      <c r="Z201" s="24">
        <f t="shared" si="277"/>
        <v>0</v>
      </c>
      <c r="AB201" s="24">
        <f t="shared" si="278"/>
        <v>0</v>
      </c>
      <c r="AC201" s="24">
        <f t="shared" si="279"/>
        <v>0</v>
      </c>
      <c r="AD201" s="24">
        <f t="shared" si="280"/>
        <v>0</v>
      </c>
      <c r="AE201" s="24">
        <f t="shared" si="281"/>
        <v>0</v>
      </c>
      <c r="AF201" s="24">
        <f t="shared" si="282"/>
        <v>0</v>
      </c>
      <c r="AG201" s="24">
        <f t="shared" si="283"/>
        <v>0</v>
      </c>
      <c r="AH201" s="24">
        <f t="shared" si="284"/>
        <v>0</v>
      </c>
      <c r="AI201" s="10" t="s">
        <v>43</v>
      </c>
      <c r="AJ201" s="24">
        <f t="shared" si="285"/>
        <v>0</v>
      </c>
      <c r="AK201" s="24">
        <f t="shared" si="286"/>
        <v>0</v>
      </c>
      <c r="AL201" s="24">
        <f t="shared" si="287"/>
        <v>0</v>
      </c>
      <c r="AN201" s="24">
        <v>21</v>
      </c>
      <c r="AO201" s="24">
        <f>G201*0.76754386</f>
        <v>0</v>
      </c>
      <c r="AP201" s="24">
        <f>G201*(1-0.76754386)</f>
        <v>0</v>
      </c>
      <c r="AQ201" s="26" t="s">
        <v>54</v>
      </c>
      <c r="AV201" s="24">
        <f t="shared" si="288"/>
        <v>0</v>
      </c>
      <c r="AW201" s="24">
        <f t="shared" si="289"/>
        <v>0</v>
      </c>
      <c r="AX201" s="24">
        <f t="shared" si="290"/>
        <v>0</v>
      </c>
      <c r="AY201" s="26" t="s">
        <v>582</v>
      </c>
      <c r="AZ201" s="26" t="s">
        <v>427</v>
      </c>
      <c r="BA201" s="10" t="s">
        <v>52</v>
      </c>
      <c r="BC201" s="24">
        <f t="shared" si="291"/>
        <v>0</v>
      </c>
      <c r="BD201" s="24">
        <f t="shared" si="292"/>
        <v>0</v>
      </c>
      <c r="BE201" s="24">
        <v>0</v>
      </c>
      <c r="BF201" s="24">
        <f>198</f>
        <v>198</v>
      </c>
      <c r="BH201" s="24">
        <f t="shared" si="293"/>
        <v>0</v>
      </c>
      <c r="BI201" s="24">
        <f t="shared" si="294"/>
        <v>0</v>
      </c>
      <c r="BJ201" s="24">
        <f t="shared" si="295"/>
        <v>0</v>
      </c>
      <c r="BK201" s="26" t="s">
        <v>53</v>
      </c>
      <c r="BL201" s="24"/>
      <c r="BW201" s="24">
        <v>21</v>
      </c>
      <c r="BX201" s="4" t="s">
        <v>576</v>
      </c>
    </row>
    <row r="202" spans="1:76" ht="14.4" x14ac:dyDescent="0.3">
      <c r="A202" s="27" t="s">
        <v>43</v>
      </c>
      <c r="B202" s="28" t="s">
        <v>615</v>
      </c>
      <c r="C202" s="98" t="s">
        <v>616</v>
      </c>
      <c r="D202" s="99"/>
      <c r="E202" s="29" t="s">
        <v>3</v>
      </c>
      <c r="F202" s="29" t="s">
        <v>3</v>
      </c>
      <c r="G202" s="29" t="s">
        <v>3</v>
      </c>
      <c r="H202" s="1">
        <f>ROUND(SUM(H203:H211),2)</f>
        <v>0</v>
      </c>
      <c r="I202" s="1">
        <f>ROUND(SUM(I203:I211),2)</f>
        <v>0</v>
      </c>
      <c r="J202" s="1">
        <f>ROUND(SUM(J203:J211),2)</f>
        <v>0</v>
      </c>
      <c r="K202" s="30"/>
      <c r="AI202" s="10" t="s">
        <v>43</v>
      </c>
      <c r="AS202" s="1">
        <f>SUM(AJ203:AJ211)</f>
        <v>0</v>
      </c>
      <c r="AT202" s="1">
        <f>SUM(AK203:AK211)</f>
        <v>0</v>
      </c>
      <c r="AU202" s="1">
        <f>SUM(AL203:AL211)</f>
        <v>0</v>
      </c>
    </row>
    <row r="203" spans="1:76" ht="14.4" x14ac:dyDescent="0.3">
      <c r="A203" s="2" t="s">
        <v>617</v>
      </c>
      <c r="B203" s="3" t="s">
        <v>618</v>
      </c>
      <c r="C203" s="82" t="s">
        <v>619</v>
      </c>
      <c r="D203" s="81"/>
      <c r="E203" s="3" t="s">
        <v>193</v>
      </c>
      <c r="F203" s="24">
        <v>1</v>
      </c>
      <c r="G203" s="180">
        <v>0</v>
      </c>
      <c r="H203" s="24">
        <f t="shared" ref="H203:H211" si="298">ROUND(F203*AO203,2)</f>
        <v>0</v>
      </c>
      <c r="I203" s="24">
        <f t="shared" ref="I203:I211" si="299">ROUND(F203*AP203,2)</f>
        <v>0</v>
      </c>
      <c r="J203" s="24">
        <f t="shared" ref="J203:J211" si="300">ROUND(F203*G203,2)</f>
        <v>0</v>
      </c>
      <c r="K203" s="25"/>
      <c r="Z203" s="24">
        <f t="shared" ref="Z203:Z211" si="301">ROUND(IF(AQ203="5",BJ203,0),2)</f>
        <v>0</v>
      </c>
      <c r="AB203" s="24">
        <f t="shared" ref="AB203:AB211" si="302">ROUND(IF(AQ203="1",BH203,0),2)</f>
        <v>0</v>
      </c>
      <c r="AC203" s="24">
        <f t="shared" ref="AC203:AC211" si="303">ROUND(IF(AQ203="1",BI203,0),2)</f>
        <v>0</v>
      </c>
      <c r="AD203" s="24">
        <f t="shared" ref="AD203:AD211" si="304">ROUND(IF(AQ203="7",BH203,0),2)</f>
        <v>0</v>
      </c>
      <c r="AE203" s="24">
        <f t="shared" ref="AE203:AE211" si="305">ROUND(IF(AQ203="7",BI203,0),2)</f>
        <v>0</v>
      </c>
      <c r="AF203" s="24">
        <f t="shared" ref="AF203:AF211" si="306">ROUND(IF(AQ203="2",BH203,0),2)</f>
        <v>0</v>
      </c>
      <c r="AG203" s="24">
        <f t="shared" ref="AG203:AG211" si="307">ROUND(IF(AQ203="2",BI203,0),2)</f>
        <v>0</v>
      </c>
      <c r="AH203" s="24">
        <f t="shared" ref="AH203:AH211" si="308">ROUND(IF(AQ203="0",BJ203,0),2)</f>
        <v>0</v>
      </c>
      <c r="AI203" s="10" t="s">
        <v>43</v>
      </c>
      <c r="AJ203" s="24">
        <f t="shared" ref="AJ203:AJ211" si="309">IF(AN203=0,J203,0)</f>
        <v>0</v>
      </c>
      <c r="AK203" s="24">
        <f t="shared" ref="AK203:AK211" si="310">IF(AN203=12,J203,0)</f>
        <v>0</v>
      </c>
      <c r="AL203" s="24">
        <f t="shared" ref="AL203:AL211" si="311">IF(AN203=21,J203,0)</f>
        <v>0</v>
      </c>
      <c r="AN203" s="24">
        <v>21</v>
      </c>
      <c r="AO203" s="24">
        <f t="shared" ref="AO203:AO210" si="312">G203*0</f>
        <v>0</v>
      </c>
      <c r="AP203" s="24">
        <f t="shared" ref="AP203:AP210" si="313">G203*(1-0)</f>
        <v>0</v>
      </c>
      <c r="AQ203" s="26" t="s">
        <v>46</v>
      </c>
      <c r="AV203" s="24">
        <f t="shared" ref="AV203:AV211" si="314">ROUND(AW203+AX203,2)</f>
        <v>0</v>
      </c>
      <c r="AW203" s="24">
        <f t="shared" ref="AW203:AW211" si="315">ROUND(F203*AO203,2)</f>
        <v>0</v>
      </c>
      <c r="AX203" s="24">
        <f t="shared" ref="AX203:AX211" si="316">ROUND(F203*AP203,2)</f>
        <v>0</v>
      </c>
      <c r="AY203" s="26" t="s">
        <v>620</v>
      </c>
      <c r="AZ203" s="26" t="s">
        <v>427</v>
      </c>
      <c r="BA203" s="10" t="s">
        <v>52</v>
      </c>
      <c r="BC203" s="24">
        <f t="shared" ref="BC203:BC211" si="317">AW203+AX203</f>
        <v>0</v>
      </c>
      <c r="BD203" s="24">
        <f t="shared" ref="BD203:BD211" si="318">G203/(100-BE203)*100</f>
        <v>0</v>
      </c>
      <c r="BE203" s="24">
        <v>0</v>
      </c>
      <c r="BF203" s="24">
        <f>200</f>
        <v>200</v>
      </c>
      <c r="BH203" s="24">
        <f t="shared" ref="BH203:BH211" si="319">F203*AO203</f>
        <v>0</v>
      </c>
      <c r="BI203" s="24">
        <f t="shared" ref="BI203:BI211" si="320">F203*AP203</f>
        <v>0</v>
      </c>
      <c r="BJ203" s="24">
        <f t="shared" ref="BJ203:BJ211" si="321">F203*G203</f>
        <v>0</v>
      </c>
      <c r="BK203" s="26" t="s">
        <v>53</v>
      </c>
      <c r="BL203" s="24"/>
      <c r="BW203" s="24">
        <v>21</v>
      </c>
      <c r="BX203" s="4" t="s">
        <v>619</v>
      </c>
    </row>
    <row r="204" spans="1:76" ht="14.4" x14ac:dyDescent="0.3">
      <c r="A204" s="2" t="s">
        <v>621</v>
      </c>
      <c r="B204" s="3" t="s">
        <v>622</v>
      </c>
      <c r="C204" s="82" t="s">
        <v>623</v>
      </c>
      <c r="D204" s="81"/>
      <c r="E204" s="3" t="s">
        <v>193</v>
      </c>
      <c r="F204" s="24">
        <v>1</v>
      </c>
      <c r="G204" s="180">
        <v>0</v>
      </c>
      <c r="H204" s="24">
        <f t="shared" si="298"/>
        <v>0</v>
      </c>
      <c r="I204" s="24">
        <f t="shared" si="299"/>
        <v>0</v>
      </c>
      <c r="J204" s="24">
        <f t="shared" si="300"/>
        <v>0</v>
      </c>
      <c r="K204" s="25"/>
      <c r="Z204" s="24">
        <f t="shared" si="301"/>
        <v>0</v>
      </c>
      <c r="AB204" s="24">
        <f t="shared" si="302"/>
        <v>0</v>
      </c>
      <c r="AC204" s="24">
        <f t="shared" si="303"/>
        <v>0</v>
      </c>
      <c r="AD204" s="24">
        <f t="shared" si="304"/>
        <v>0</v>
      </c>
      <c r="AE204" s="24">
        <f t="shared" si="305"/>
        <v>0</v>
      </c>
      <c r="AF204" s="24">
        <f t="shared" si="306"/>
        <v>0</v>
      </c>
      <c r="AG204" s="24">
        <f t="shared" si="307"/>
        <v>0</v>
      </c>
      <c r="AH204" s="24">
        <f t="shared" si="308"/>
        <v>0</v>
      </c>
      <c r="AI204" s="10" t="s">
        <v>43</v>
      </c>
      <c r="AJ204" s="24">
        <f t="shared" si="309"/>
        <v>0</v>
      </c>
      <c r="AK204" s="24">
        <f t="shared" si="310"/>
        <v>0</v>
      </c>
      <c r="AL204" s="24">
        <f t="shared" si="311"/>
        <v>0</v>
      </c>
      <c r="AN204" s="24">
        <v>21</v>
      </c>
      <c r="AO204" s="24">
        <f t="shared" si="312"/>
        <v>0</v>
      </c>
      <c r="AP204" s="24">
        <f t="shared" si="313"/>
        <v>0</v>
      </c>
      <c r="AQ204" s="26" t="s">
        <v>46</v>
      </c>
      <c r="AV204" s="24">
        <f t="shared" si="314"/>
        <v>0</v>
      </c>
      <c r="AW204" s="24">
        <f t="shared" si="315"/>
        <v>0</v>
      </c>
      <c r="AX204" s="24">
        <f t="shared" si="316"/>
        <v>0</v>
      </c>
      <c r="AY204" s="26" t="s">
        <v>620</v>
      </c>
      <c r="AZ204" s="26" t="s">
        <v>427</v>
      </c>
      <c r="BA204" s="10" t="s">
        <v>52</v>
      </c>
      <c r="BC204" s="24">
        <f t="shared" si="317"/>
        <v>0</v>
      </c>
      <c r="BD204" s="24">
        <f t="shared" si="318"/>
        <v>0</v>
      </c>
      <c r="BE204" s="24">
        <v>0</v>
      </c>
      <c r="BF204" s="24">
        <f>201</f>
        <v>201</v>
      </c>
      <c r="BH204" s="24">
        <f t="shared" si="319"/>
        <v>0</v>
      </c>
      <c r="BI204" s="24">
        <f t="shared" si="320"/>
        <v>0</v>
      </c>
      <c r="BJ204" s="24">
        <f t="shared" si="321"/>
        <v>0</v>
      </c>
      <c r="BK204" s="26" t="s">
        <v>53</v>
      </c>
      <c r="BL204" s="24"/>
      <c r="BW204" s="24">
        <v>21</v>
      </c>
      <c r="BX204" s="4" t="s">
        <v>623</v>
      </c>
    </row>
    <row r="205" spans="1:76" ht="14.4" x14ac:dyDescent="0.3">
      <c r="A205" s="2" t="s">
        <v>624</v>
      </c>
      <c r="B205" s="3" t="s">
        <v>625</v>
      </c>
      <c r="C205" s="82" t="s">
        <v>626</v>
      </c>
      <c r="D205" s="81"/>
      <c r="E205" s="3" t="s">
        <v>193</v>
      </c>
      <c r="F205" s="24">
        <v>1</v>
      </c>
      <c r="G205" s="180">
        <v>0</v>
      </c>
      <c r="H205" s="24">
        <f t="shared" si="298"/>
        <v>0</v>
      </c>
      <c r="I205" s="24">
        <f t="shared" si="299"/>
        <v>0</v>
      </c>
      <c r="J205" s="24">
        <f t="shared" si="300"/>
        <v>0</v>
      </c>
      <c r="K205" s="25"/>
      <c r="Z205" s="24">
        <f t="shared" si="301"/>
        <v>0</v>
      </c>
      <c r="AB205" s="24">
        <f t="shared" si="302"/>
        <v>0</v>
      </c>
      <c r="AC205" s="24">
        <f t="shared" si="303"/>
        <v>0</v>
      </c>
      <c r="AD205" s="24">
        <f t="shared" si="304"/>
        <v>0</v>
      </c>
      <c r="AE205" s="24">
        <f t="shared" si="305"/>
        <v>0</v>
      </c>
      <c r="AF205" s="24">
        <f t="shared" si="306"/>
        <v>0</v>
      </c>
      <c r="AG205" s="24">
        <f t="shared" si="307"/>
        <v>0</v>
      </c>
      <c r="AH205" s="24">
        <f t="shared" si="308"/>
        <v>0</v>
      </c>
      <c r="AI205" s="10" t="s">
        <v>43</v>
      </c>
      <c r="AJ205" s="24">
        <f t="shared" si="309"/>
        <v>0</v>
      </c>
      <c r="AK205" s="24">
        <f t="shared" si="310"/>
        <v>0</v>
      </c>
      <c r="AL205" s="24">
        <f t="shared" si="311"/>
        <v>0</v>
      </c>
      <c r="AN205" s="24">
        <v>21</v>
      </c>
      <c r="AO205" s="24">
        <f t="shared" si="312"/>
        <v>0</v>
      </c>
      <c r="AP205" s="24">
        <f t="shared" si="313"/>
        <v>0</v>
      </c>
      <c r="AQ205" s="26" t="s">
        <v>46</v>
      </c>
      <c r="AV205" s="24">
        <f t="shared" si="314"/>
        <v>0</v>
      </c>
      <c r="AW205" s="24">
        <f t="shared" si="315"/>
        <v>0</v>
      </c>
      <c r="AX205" s="24">
        <f t="shared" si="316"/>
        <v>0</v>
      </c>
      <c r="AY205" s="26" t="s">
        <v>620</v>
      </c>
      <c r="AZ205" s="26" t="s">
        <v>427</v>
      </c>
      <c r="BA205" s="10" t="s">
        <v>52</v>
      </c>
      <c r="BC205" s="24">
        <f t="shared" si="317"/>
        <v>0</v>
      </c>
      <c r="BD205" s="24">
        <f t="shared" si="318"/>
        <v>0</v>
      </c>
      <c r="BE205" s="24">
        <v>0</v>
      </c>
      <c r="BF205" s="24">
        <f>202</f>
        <v>202</v>
      </c>
      <c r="BH205" s="24">
        <f t="shared" si="319"/>
        <v>0</v>
      </c>
      <c r="BI205" s="24">
        <f t="shared" si="320"/>
        <v>0</v>
      </c>
      <c r="BJ205" s="24">
        <f t="shared" si="321"/>
        <v>0</v>
      </c>
      <c r="BK205" s="26" t="s">
        <v>53</v>
      </c>
      <c r="BL205" s="24"/>
      <c r="BW205" s="24">
        <v>21</v>
      </c>
      <c r="BX205" s="4" t="s">
        <v>626</v>
      </c>
    </row>
    <row r="206" spans="1:76" ht="14.4" x14ac:dyDescent="0.3">
      <c r="A206" s="2" t="s">
        <v>627</v>
      </c>
      <c r="B206" s="3" t="s">
        <v>628</v>
      </c>
      <c r="C206" s="82" t="s">
        <v>629</v>
      </c>
      <c r="D206" s="81"/>
      <c r="E206" s="3" t="s">
        <v>193</v>
      </c>
      <c r="F206" s="24">
        <v>1</v>
      </c>
      <c r="G206" s="180">
        <v>0</v>
      </c>
      <c r="H206" s="24">
        <f t="shared" si="298"/>
        <v>0</v>
      </c>
      <c r="I206" s="24">
        <f t="shared" si="299"/>
        <v>0</v>
      </c>
      <c r="J206" s="24">
        <f t="shared" si="300"/>
        <v>0</v>
      </c>
      <c r="K206" s="25"/>
      <c r="Z206" s="24">
        <f t="shared" si="301"/>
        <v>0</v>
      </c>
      <c r="AB206" s="24">
        <f t="shared" si="302"/>
        <v>0</v>
      </c>
      <c r="AC206" s="24">
        <f t="shared" si="303"/>
        <v>0</v>
      </c>
      <c r="AD206" s="24">
        <f t="shared" si="304"/>
        <v>0</v>
      </c>
      <c r="AE206" s="24">
        <f t="shared" si="305"/>
        <v>0</v>
      </c>
      <c r="AF206" s="24">
        <f t="shared" si="306"/>
        <v>0</v>
      </c>
      <c r="AG206" s="24">
        <f t="shared" si="307"/>
        <v>0</v>
      </c>
      <c r="AH206" s="24">
        <f t="shared" si="308"/>
        <v>0</v>
      </c>
      <c r="AI206" s="10" t="s">
        <v>43</v>
      </c>
      <c r="AJ206" s="24">
        <f t="shared" si="309"/>
        <v>0</v>
      </c>
      <c r="AK206" s="24">
        <f t="shared" si="310"/>
        <v>0</v>
      </c>
      <c r="AL206" s="24">
        <f t="shared" si="311"/>
        <v>0</v>
      </c>
      <c r="AN206" s="24">
        <v>21</v>
      </c>
      <c r="AO206" s="24">
        <f t="shared" si="312"/>
        <v>0</v>
      </c>
      <c r="AP206" s="24">
        <f t="shared" si="313"/>
        <v>0</v>
      </c>
      <c r="AQ206" s="26" t="s">
        <v>46</v>
      </c>
      <c r="AV206" s="24">
        <f t="shared" si="314"/>
        <v>0</v>
      </c>
      <c r="AW206" s="24">
        <f t="shared" si="315"/>
        <v>0</v>
      </c>
      <c r="AX206" s="24">
        <f t="shared" si="316"/>
        <v>0</v>
      </c>
      <c r="AY206" s="26" t="s">
        <v>620</v>
      </c>
      <c r="AZ206" s="26" t="s">
        <v>427</v>
      </c>
      <c r="BA206" s="10" t="s">
        <v>52</v>
      </c>
      <c r="BC206" s="24">
        <f t="shared" si="317"/>
        <v>0</v>
      </c>
      <c r="BD206" s="24">
        <f t="shared" si="318"/>
        <v>0</v>
      </c>
      <c r="BE206" s="24">
        <v>0</v>
      </c>
      <c r="BF206" s="24">
        <f>203</f>
        <v>203</v>
      </c>
      <c r="BH206" s="24">
        <f t="shared" si="319"/>
        <v>0</v>
      </c>
      <c r="BI206" s="24">
        <f t="shared" si="320"/>
        <v>0</v>
      </c>
      <c r="BJ206" s="24">
        <f t="shared" si="321"/>
        <v>0</v>
      </c>
      <c r="BK206" s="26" t="s">
        <v>53</v>
      </c>
      <c r="BL206" s="24"/>
      <c r="BW206" s="24">
        <v>21</v>
      </c>
      <c r="BX206" s="4" t="s">
        <v>629</v>
      </c>
    </row>
    <row r="207" spans="1:76" ht="14.4" x14ac:dyDescent="0.3">
      <c r="A207" s="2" t="s">
        <v>630</v>
      </c>
      <c r="B207" s="3" t="s">
        <v>631</v>
      </c>
      <c r="C207" s="82" t="s">
        <v>632</v>
      </c>
      <c r="D207" s="81"/>
      <c r="E207" s="3" t="s">
        <v>193</v>
      </c>
      <c r="F207" s="24">
        <v>1</v>
      </c>
      <c r="G207" s="180">
        <v>0</v>
      </c>
      <c r="H207" s="24">
        <f t="shared" si="298"/>
        <v>0</v>
      </c>
      <c r="I207" s="24">
        <f t="shared" si="299"/>
        <v>0</v>
      </c>
      <c r="J207" s="24">
        <f t="shared" si="300"/>
        <v>0</v>
      </c>
      <c r="K207" s="25"/>
      <c r="Z207" s="24">
        <f t="shared" si="301"/>
        <v>0</v>
      </c>
      <c r="AB207" s="24">
        <f t="shared" si="302"/>
        <v>0</v>
      </c>
      <c r="AC207" s="24">
        <f t="shared" si="303"/>
        <v>0</v>
      </c>
      <c r="AD207" s="24">
        <f t="shared" si="304"/>
        <v>0</v>
      </c>
      <c r="AE207" s="24">
        <f t="shared" si="305"/>
        <v>0</v>
      </c>
      <c r="AF207" s="24">
        <f t="shared" si="306"/>
        <v>0</v>
      </c>
      <c r="AG207" s="24">
        <f t="shared" si="307"/>
        <v>0</v>
      </c>
      <c r="AH207" s="24">
        <f t="shared" si="308"/>
        <v>0</v>
      </c>
      <c r="AI207" s="10" t="s">
        <v>43</v>
      </c>
      <c r="AJ207" s="24">
        <f t="shared" si="309"/>
        <v>0</v>
      </c>
      <c r="AK207" s="24">
        <f t="shared" si="310"/>
        <v>0</v>
      </c>
      <c r="AL207" s="24">
        <f t="shared" si="311"/>
        <v>0</v>
      </c>
      <c r="AN207" s="24">
        <v>21</v>
      </c>
      <c r="AO207" s="24">
        <f t="shared" si="312"/>
        <v>0</v>
      </c>
      <c r="AP207" s="24">
        <f t="shared" si="313"/>
        <v>0</v>
      </c>
      <c r="AQ207" s="26" t="s">
        <v>46</v>
      </c>
      <c r="AV207" s="24">
        <f t="shared" si="314"/>
        <v>0</v>
      </c>
      <c r="AW207" s="24">
        <f t="shared" si="315"/>
        <v>0</v>
      </c>
      <c r="AX207" s="24">
        <f t="shared" si="316"/>
        <v>0</v>
      </c>
      <c r="AY207" s="26" t="s">
        <v>620</v>
      </c>
      <c r="AZ207" s="26" t="s">
        <v>427</v>
      </c>
      <c r="BA207" s="10" t="s">
        <v>52</v>
      </c>
      <c r="BC207" s="24">
        <f t="shared" si="317"/>
        <v>0</v>
      </c>
      <c r="BD207" s="24">
        <f t="shared" si="318"/>
        <v>0</v>
      </c>
      <c r="BE207" s="24">
        <v>0</v>
      </c>
      <c r="BF207" s="24">
        <f>204</f>
        <v>204</v>
      </c>
      <c r="BH207" s="24">
        <f t="shared" si="319"/>
        <v>0</v>
      </c>
      <c r="BI207" s="24">
        <f t="shared" si="320"/>
        <v>0</v>
      </c>
      <c r="BJ207" s="24">
        <f t="shared" si="321"/>
        <v>0</v>
      </c>
      <c r="BK207" s="26" t="s">
        <v>53</v>
      </c>
      <c r="BL207" s="24"/>
      <c r="BW207" s="24">
        <v>21</v>
      </c>
      <c r="BX207" s="4" t="s">
        <v>632</v>
      </c>
    </row>
    <row r="208" spans="1:76" ht="14.4" x14ac:dyDescent="0.3">
      <c r="A208" s="2" t="s">
        <v>633</v>
      </c>
      <c r="B208" s="3" t="s">
        <v>634</v>
      </c>
      <c r="C208" s="82" t="s">
        <v>635</v>
      </c>
      <c r="D208" s="81"/>
      <c r="E208" s="3" t="s">
        <v>193</v>
      </c>
      <c r="F208" s="24">
        <v>1</v>
      </c>
      <c r="G208" s="180">
        <v>0</v>
      </c>
      <c r="H208" s="24">
        <f t="shared" si="298"/>
        <v>0</v>
      </c>
      <c r="I208" s="24">
        <f t="shared" si="299"/>
        <v>0</v>
      </c>
      <c r="J208" s="24">
        <f t="shared" si="300"/>
        <v>0</v>
      </c>
      <c r="K208" s="25"/>
      <c r="Z208" s="24">
        <f t="shared" si="301"/>
        <v>0</v>
      </c>
      <c r="AB208" s="24">
        <f t="shared" si="302"/>
        <v>0</v>
      </c>
      <c r="AC208" s="24">
        <f t="shared" si="303"/>
        <v>0</v>
      </c>
      <c r="AD208" s="24">
        <f t="shared" si="304"/>
        <v>0</v>
      </c>
      <c r="AE208" s="24">
        <f t="shared" si="305"/>
        <v>0</v>
      </c>
      <c r="AF208" s="24">
        <f t="shared" si="306"/>
        <v>0</v>
      </c>
      <c r="AG208" s="24">
        <f t="shared" si="307"/>
        <v>0</v>
      </c>
      <c r="AH208" s="24">
        <f t="shared" si="308"/>
        <v>0</v>
      </c>
      <c r="AI208" s="10" t="s">
        <v>43</v>
      </c>
      <c r="AJ208" s="24">
        <f t="shared" si="309"/>
        <v>0</v>
      </c>
      <c r="AK208" s="24">
        <f t="shared" si="310"/>
        <v>0</v>
      </c>
      <c r="AL208" s="24">
        <f t="shared" si="311"/>
        <v>0</v>
      </c>
      <c r="AN208" s="24">
        <v>21</v>
      </c>
      <c r="AO208" s="24">
        <f t="shared" si="312"/>
        <v>0</v>
      </c>
      <c r="AP208" s="24">
        <f t="shared" si="313"/>
        <v>0</v>
      </c>
      <c r="AQ208" s="26" t="s">
        <v>46</v>
      </c>
      <c r="AV208" s="24">
        <f t="shared" si="314"/>
        <v>0</v>
      </c>
      <c r="AW208" s="24">
        <f t="shared" si="315"/>
        <v>0</v>
      </c>
      <c r="AX208" s="24">
        <f t="shared" si="316"/>
        <v>0</v>
      </c>
      <c r="AY208" s="26" t="s">
        <v>620</v>
      </c>
      <c r="AZ208" s="26" t="s">
        <v>427</v>
      </c>
      <c r="BA208" s="10" t="s">
        <v>52</v>
      </c>
      <c r="BC208" s="24">
        <f t="shared" si="317"/>
        <v>0</v>
      </c>
      <c r="BD208" s="24">
        <f t="shared" si="318"/>
        <v>0</v>
      </c>
      <c r="BE208" s="24">
        <v>0</v>
      </c>
      <c r="BF208" s="24">
        <f>205</f>
        <v>205</v>
      </c>
      <c r="BH208" s="24">
        <f t="shared" si="319"/>
        <v>0</v>
      </c>
      <c r="BI208" s="24">
        <f t="shared" si="320"/>
        <v>0</v>
      </c>
      <c r="BJ208" s="24">
        <f t="shared" si="321"/>
        <v>0</v>
      </c>
      <c r="BK208" s="26" t="s">
        <v>53</v>
      </c>
      <c r="BL208" s="24"/>
      <c r="BW208" s="24">
        <v>21</v>
      </c>
      <c r="BX208" s="4" t="s">
        <v>635</v>
      </c>
    </row>
    <row r="209" spans="1:76" ht="14.4" x14ac:dyDescent="0.3">
      <c r="A209" s="2" t="s">
        <v>636</v>
      </c>
      <c r="B209" s="3" t="s">
        <v>637</v>
      </c>
      <c r="C209" s="82" t="s">
        <v>638</v>
      </c>
      <c r="D209" s="81"/>
      <c r="E209" s="3" t="s">
        <v>193</v>
      </c>
      <c r="F209" s="24">
        <v>1</v>
      </c>
      <c r="G209" s="180">
        <v>0</v>
      </c>
      <c r="H209" s="24">
        <f t="shared" si="298"/>
        <v>0</v>
      </c>
      <c r="I209" s="24">
        <f t="shared" si="299"/>
        <v>0</v>
      </c>
      <c r="J209" s="24">
        <f t="shared" si="300"/>
        <v>0</v>
      </c>
      <c r="K209" s="25"/>
      <c r="Z209" s="24">
        <f t="shared" si="301"/>
        <v>0</v>
      </c>
      <c r="AB209" s="24">
        <f t="shared" si="302"/>
        <v>0</v>
      </c>
      <c r="AC209" s="24">
        <f t="shared" si="303"/>
        <v>0</v>
      </c>
      <c r="AD209" s="24">
        <f t="shared" si="304"/>
        <v>0</v>
      </c>
      <c r="AE209" s="24">
        <f t="shared" si="305"/>
        <v>0</v>
      </c>
      <c r="AF209" s="24">
        <f t="shared" si="306"/>
        <v>0</v>
      </c>
      <c r="AG209" s="24">
        <f t="shared" si="307"/>
        <v>0</v>
      </c>
      <c r="AH209" s="24">
        <f t="shared" si="308"/>
        <v>0</v>
      </c>
      <c r="AI209" s="10" t="s">
        <v>43</v>
      </c>
      <c r="AJ209" s="24">
        <f t="shared" si="309"/>
        <v>0</v>
      </c>
      <c r="AK209" s="24">
        <f t="shared" si="310"/>
        <v>0</v>
      </c>
      <c r="AL209" s="24">
        <f t="shared" si="311"/>
        <v>0</v>
      </c>
      <c r="AN209" s="24">
        <v>21</v>
      </c>
      <c r="AO209" s="24">
        <f t="shared" si="312"/>
        <v>0</v>
      </c>
      <c r="AP209" s="24">
        <f t="shared" si="313"/>
        <v>0</v>
      </c>
      <c r="AQ209" s="26" t="s">
        <v>46</v>
      </c>
      <c r="AV209" s="24">
        <f t="shared" si="314"/>
        <v>0</v>
      </c>
      <c r="AW209" s="24">
        <f t="shared" si="315"/>
        <v>0</v>
      </c>
      <c r="AX209" s="24">
        <f t="shared" si="316"/>
        <v>0</v>
      </c>
      <c r="AY209" s="26" t="s">
        <v>620</v>
      </c>
      <c r="AZ209" s="26" t="s">
        <v>427</v>
      </c>
      <c r="BA209" s="10" t="s">
        <v>52</v>
      </c>
      <c r="BC209" s="24">
        <f t="shared" si="317"/>
        <v>0</v>
      </c>
      <c r="BD209" s="24">
        <f t="shared" si="318"/>
        <v>0</v>
      </c>
      <c r="BE209" s="24">
        <v>0</v>
      </c>
      <c r="BF209" s="24">
        <f>206</f>
        <v>206</v>
      </c>
      <c r="BH209" s="24">
        <f t="shared" si="319"/>
        <v>0</v>
      </c>
      <c r="BI209" s="24">
        <f t="shared" si="320"/>
        <v>0</v>
      </c>
      <c r="BJ209" s="24">
        <f t="shared" si="321"/>
        <v>0</v>
      </c>
      <c r="BK209" s="26" t="s">
        <v>53</v>
      </c>
      <c r="BL209" s="24"/>
      <c r="BW209" s="24">
        <v>21</v>
      </c>
      <c r="BX209" s="4" t="s">
        <v>638</v>
      </c>
    </row>
    <row r="210" spans="1:76" ht="14.4" x14ac:dyDescent="0.3">
      <c r="A210" s="2" t="s">
        <v>639</v>
      </c>
      <c r="B210" s="3" t="s">
        <v>640</v>
      </c>
      <c r="C210" s="82" t="s">
        <v>641</v>
      </c>
      <c r="D210" s="81"/>
      <c r="E210" s="3" t="s">
        <v>193</v>
      </c>
      <c r="F210" s="24">
        <v>1</v>
      </c>
      <c r="G210" s="180">
        <v>0</v>
      </c>
      <c r="H210" s="24">
        <f t="shared" si="298"/>
        <v>0</v>
      </c>
      <c r="I210" s="24">
        <f t="shared" si="299"/>
        <v>0</v>
      </c>
      <c r="J210" s="24">
        <f t="shared" si="300"/>
        <v>0</v>
      </c>
      <c r="K210" s="25"/>
      <c r="Z210" s="24">
        <f t="shared" si="301"/>
        <v>0</v>
      </c>
      <c r="AB210" s="24">
        <f t="shared" si="302"/>
        <v>0</v>
      </c>
      <c r="AC210" s="24">
        <f t="shared" si="303"/>
        <v>0</v>
      </c>
      <c r="AD210" s="24">
        <f t="shared" si="304"/>
        <v>0</v>
      </c>
      <c r="AE210" s="24">
        <f t="shared" si="305"/>
        <v>0</v>
      </c>
      <c r="AF210" s="24">
        <f t="shared" si="306"/>
        <v>0</v>
      </c>
      <c r="AG210" s="24">
        <f t="shared" si="307"/>
        <v>0</v>
      </c>
      <c r="AH210" s="24">
        <f t="shared" si="308"/>
        <v>0</v>
      </c>
      <c r="AI210" s="10" t="s">
        <v>43</v>
      </c>
      <c r="AJ210" s="24">
        <f t="shared" si="309"/>
        <v>0</v>
      </c>
      <c r="AK210" s="24">
        <f t="shared" si="310"/>
        <v>0</v>
      </c>
      <c r="AL210" s="24">
        <f t="shared" si="311"/>
        <v>0</v>
      </c>
      <c r="AN210" s="24">
        <v>21</v>
      </c>
      <c r="AO210" s="24">
        <f t="shared" si="312"/>
        <v>0</v>
      </c>
      <c r="AP210" s="24">
        <f t="shared" si="313"/>
        <v>0</v>
      </c>
      <c r="AQ210" s="26" t="s">
        <v>46</v>
      </c>
      <c r="AV210" s="24">
        <f t="shared" si="314"/>
        <v>0</v>
      </c>
      <c r="AW210" s="24">
        <f t="shared" si="315"/>
        <v>0</v>
      </c>
      <c r="AX210" s="24">
        <f t="shared" si="316"/>
        <v>0</v>
      </c>
      <c r="AY210" s="26" t="s">
        <v>620</v>
      </c>
      <c r="AZ210" s="26" t="s">
        <v>427</v>
      </c>
      <c r="BA210" s="10" t="s">
        <v>52</v>
      </c>
      <c r="BC210" s="24">
        <f t="shared" si="317"/>
        <v>0</v>
      </c>
      <c r="BD210" s="24">
        <f t="shared" si="318"/>
        <v>0</v>
      </c>
      <c r="BE210" s="24">
        <v>0</v>
      </c>
      <c r="BF210" s="24">
        <f>207</f>
        <v>207</v>
      </c>
      <c r="BH210" s="24">
        <f t="shared" si="319"/>
        <v>0</v>
      </c>
      <c r="BI210" s="24">
        <f t="shared" si="320"/>
        <v>0</v>
      </c>
      <c r="BJ210" s="24">
        <f t="shared" si="321"/>
        <v>0</v>
      </c>
      <c r="BK210" s="26" t="s">
        <v>53</v>
      </c>
      <c r="BL210" s="24"/>
      <c r="BW210" s="24">
        <v>21</v>
      </c>
      <c r="BX210" s="4" t="s">
        <v>641</v>
      </c>
    </row>
    <row r="211" spans="1:76" ht="14.4" x14ac:dyDescent="0.3">
      <c r="A211" s="2" t="s">
        <v>642</v>
      </c>
      <c r="B211" s="3" t="s">
        <v>643</v>
      </c>
      <c r="C211" s="82" t="s">
        <v>644</v>
      </c>
      <c r="D211" s="81"/>
      <c r="E211" s="3" t="s">
        <v>193</v>
      </c>
      <c r="F211" s="24">
        <v>1</v>
      </c>
      <c r="G211" s="180">
        <v>0</v>
      </c>
      <c r="H211" s="24">
        <f t="shared" si="298"/>
        <v>0</v>
      </c>
      <c r="I211" s="24">
        <f t="shared" si="299"/>
        <v>0</v>
      </c>
      <c r="J211" s="24">
        <f t="shared" si="300"/>
        <v>0</v>
      </c>
      <c r="K211" s="25"/>
      <c r="Z211" s="24">
        <f t="shared" si="301"/>
        <v>0</v>
      </c>
      <c r="AB211" s="24">
        <f t="shared" si="302"/>
        <v>0</v>
      </c>
      <c r="AC211" s="24">
        <f t="shared" si="303"/>
        <v>0</v>
      </c>
      <c r="AD211" s="24">
        <f t="shared" si="304"/>
        <v>0</v>
      </c>
      <c r="AE211" s="24">
        <f t="shared" si="305"/>
        <v>0</v>
      </c>
      <c r="AF211" s="24">
        <f t="shared" si="306"/>
        <v>0</v>
      </c>
      <c r="AG211" s="24">
        <f t="shared" si="307"/>
        <v>0</v>
      </c>
      <c r="AH211" s="24">
        <f t="shared" si="308"/>
        <v>0</v>
      </c>
      <c r="AI211" s="10" t="s">
        <v>43</v>
      </c>
      <c r="AJ211" s="24">
        <f t="shared" si="309"/>
        <v>0</v>
      </c>
      <c r="AK211" s="24">
        <f t="shared" si="310"/>
        <v>0</v>
      </c>
      <c r="AL211" s="24">
        <f t="shared" si="311"/>
        <v>0</v>
      </c>
      <c r="AN211" s="24">
        <v>21</v>
      </c>
      <c r="AO211" s="24">
        <f>G211*0.2</f>
        <v>0</v>
      </c>
      <c r="AP211" s="24">
        <f>G211*(1-0.2)</f>
        <v>0</v>
      </c>
      <c r="AQ211" s="26" t="s">
        <v>46</v>
      </c>
      <c r="AV211" s="24">
        <f t="shared" si="314"/>
        <v>0</v>
      </c>
      <c r="AW211" s="24">
        <f t="shared" si="315"/>
        <v>0</v>
      </c>
      <c r="AX211" s="24">
        <f t="shared" si="316"/>
        <v>0</v>
      </c>
      <c r="AY211" s="26" t="s">
        <v>620</v>
      </c>
      <c r="AZ211" s="26" t="s">
        <v>427</v>
      </c>
      <c r="BA211" s="10" t="s">
        <v>52</v>
      </c>
      <c r="BC211" s="24">
        <f t="shared" si="317"/>
        <v>0</v>
      </c>
      <c r="BD211" s="24">
        <f t="shared" si="318"/>
        <v>0</v>
      </c>
      <c r="BE211" s="24">
        <v>0</v>
      </c>
      <c r="BF211" s="24">
        <f>208</f>
        <v>208</v>
      </c>
      <c r="BH211" s="24">
        <f t="shared" si="319"/>
        <v>0</v>
      </c>
      <c r="BI211" s="24">
        <f t="shared" si="320"/>
        <v>0</v>
      </c>
      <c r="BJ211" s="24">
        <f t="shared" si="321"/>
        <v>0</v>
      </c>
      <c r="BK211" s="26" t="s">
        <v>53</v>
      </c>
      <c r="BL211" s="24"/>
      <c r="BW211" s="24">
        <v>21</v>
      </c>
      <c r="BX211" s="4" t="s">
        <v>644</v>
      </c>
    </row>
    <row r="212" spans="1:76" ht="14.4" x14ac:dyDescent="0.3">
      <c r="A212" s="27" t="s">
        <v>43</v>
      </c>
      <c r="B212" s="28" t="s">
        <v>645</v>
      </c>
      <c r="C212" s="98" t="s">
        <v>646</v>
      </c>
      <c r="D212" s="99"/>
      <c r="E212" s="29" t="s">
        <v>3</v>
      </c>
      <c r="F212" s="29" t="s">
        <v>3</v>
      </c>
      <c r="G212" s="29" t="s">
        <v>3</v>
      </c>
      <c r="H212" s="1">
        <f>ROUND(SUM(H213:H230),2)</f>
        <v>0</v>
      </c>
      <c r="I212" s="1">
        <f>ROUND(SUM(I213:I230),2)</f>
        <v>0</v>
      </c>
      <c r="J212" s="1">
        <f>ROUND(SUM(J213:J230),2)</f>
        <v>0</v>
      </c>
      <c r="K212" s="30"/>
      <c r="AI212" s="10" t="s">
        <v>43</v>
      </c>
      <c r="AS212" s="1">
        <f>SUM(AJ213:AJ230)</f>
        <v>0</v>
      </c>
      <c r="AT212" s="1">
        <f>SUM(AK213:AK230)</f>
        <v>0</v>
      </c>
      <c r="AU212" s="1">
        <f>SUM(AL213:AL230)</f>
        <v>0</v>
      </c>
    </row>
    <row r="213" spans="1:76" ht="14.4" x14ac:dyDescent="0.3">
      <c r="A213" s="2" t="s">
        <v>647</v>
      </c>
      <c r="B213" s="3" t="s">
        <v>648</v>
      </c>
      <c r="C213" s="82" t="s">
        <v>649</v>
      </c>
      <c r="D213" s="81"/>
      <c r="E213" s="3" t="s">
        <v>76</v>
      </c>
      <c r="F213" s="24">
        <v>3</v>
      </c>
      <c r="G213" s="180">
        <v>0</v>
      </c>
      <c r="H213" s="24">
        <f t="shared" ref="H213:H230" si="322">ROUND(F213*AO213,2)</f>
        <v>0</v>
      </c>
      <c r="I213" s="24">
        <f t="shared" ref="I213:I230" si="323">ROUND(F213*AP213,2)</f>
        <v>0</v>
      </c>
      <c r="J213" s="24">
        <f t="shared" ref="J213:J230" si="324">ROUND(F213*G213,2)</f>
        <v>0</v>
      </c>
      <c r="K213" s="25"/>
      <c r="Z213" s="24">
        <f t="shared" ref="Z213:Z230" si="325">ROUND(IF(AQ213="5",BJ213,0),2)</f>
        <v>0</v>
      </c>
      <c r="AB213" s="24">
        <f t="shared" ref="AB213:AB230" si="326">ROUND(IF(AQ213="1",BH213,0),2)</f>
        <v>0</v>
      </c>
      <c r="AC213" s="24">
        <f t="shared" ref="AC213:AC230" si="327">ROUND(IF(AQ213="1",BI213,0),2)</f>
        <v>0</v>
      </c>
      <c r="AD213" s="24">
        <f t="shared" ref="AD213:AD230" si="328">ROUND(IF(AQ213="7",BH213,0),2)</f>
        <v>0</v>
      </c>
      <c r="AE213" s="24">
        <f t="shared" ref="AE213:AE230" si="329">ROUND(IF(AQ213="7",BI213,0),2)</f>
        <v>0</v>
      </c>
      <c r="AF213" s="24">
        <f t="shared" ref="AF213:AF230" si="330">ROUND(IF(AQ213="2",BH213,0),2)</f>
        <v>0</v>
      </c>
      <c r="AG213" s="24">
        <f t="shared" ref="AG213:AG230" si="331">ROUND(IF(AQ213="2",BI213,0),2)</f>
        <v>0</v>
      </c>
      <c r="AH213" s="24">
        <f t="shared" ref="AH213:AH230" si="332">ROUND(IF(AQ213="0",BJ213,0),2)</f>
        <v>0</v>
      </c>
      <c r="AI213" s="10" t="s">
        <v>43</v>
      </c>
      <c r="AJ213" s="24">
        <f t="shared" ref="AJ213:AJ230" si="333">IF(AN213=0,J213,0)</f>
        <v>0</v>
      </c>
      <c r="AK213" s="24">
        <f t="shared" ref="AK213:AK230" si="334">IF(AN213=12,J213,0)</f>
        <v>0</v>
      </c>
      <c r="AL213" s="24">
        <f t="shared" ref="AL213:AL230" si="335">IF(AN213=21,J213,0)</f>
        <v>0</v>
      </c>
      <c r="AN213" s="24">
        <v>21</v>
      </c>
      <c r="AO213" s="24">
        <f t="shared" ref="AO213:AO228" si="336">G213*0</f>
        <v>0</v>
      </c>
      <c r="AP213" s="24">
        <f t="shared" ref="AP213:AP228" si="337">G213*(1-0)</f>
        <v>0</v>
      </c>
      <c r="AQ213" s="26" t="s">
        <v>46</v>
      </c>
      <c r="AV213" s="24">
        <f t="shared" ref="AV213:AV230" si="338">ROUND(AW213+AX213,2)</f>
        <v>0</v>
      </c>
      <c r="AW213" s="24">
        <f t="shared" ref="AW213:AW230" si="339">ROUND(F213*AO213,2)</f>
        <v>0</v>
      </c>
      <c r="AX213" s="24">
        <f t="shared" ref="AX213:AX230" si="340">ROUND(F213*AP213,2)</f>
        <v>0</v>
      </c>
      <c r="AY213" s="26" t="s">
        <v>650</v>
      </c>
      <c r="AZ213" s="26" t="s">
        <v>651</v>
      </c>
      <c r="BA213" s="10" t="s">
        <v>52</v>
      </c>
      <c r="BC213" s="24">
        <f t="shared" ref="BC213:BC230" si="341">AW213+AX213</f>
        <v>0</v>
      </c>
      <c r="BD213" s="24">
        <f t="shared" ref="BD213:BD230" si="342">G213/(100-BE213)*100</f>
        <v>0</v>
      </c>
      <c r="BE213" s="24">
        <v>0</v>
      </c>
      <c r="BF213" s="24">
        <f>210</f>
        <v>210</v>
      </c>
      <c r="BH213" s="24">
        <f t="shared" ref="BH213:BH230" si="343">F213*AO213</f>
        <v>0</v>
      </c>
      <c r="BI213" s="24">
        <f t="shared" ref="BI213:BI230" si="344">F213*AP213</f>
        <v>0</v>
      </c>
      <c r="BJ213" s="24">
        <f t="shared" ref="BJ213:BJ230" si="345">F213*G213</f>
        <v>0</v>
      </c>
      <c r="BK213" s="26" t="s">
        <v>53</v>
      </c>
      <c r="BL213" s="24"/>
      <c r="BW213" s="24">
        <v>21</v>
      </c>
      <c r="BX213" s="4" t="s">
        <v>649</v>
      </c>
    </row>
    <row r="214" spans="1:76" ht="14.4" x14ac:dyDescent="0.3">
      <c r="A214" s="2" t="s">
        <v>652</v>
      </c>
      <c r="B214" s="3" t="s">
        <v>653</v>
      </c>
      <c r="C214" s="82" t="s">
        <v>654</v>
      </c>
      <c r="D214" s="81"/>
      <c r="E214" s="3" t="s">
        <v>91</v>
      </c>
      <c r="F214" s="24">
        <v>14</v>
      </c>
      <c r="G214" s="180">
        <v>0</v>
      </c>
      <c r="H214" s="24">
        <f t="shared" si="322"/>
        <v>0</v>
      </c>
      <c r="I214" s="24">
        <f t="shared" si="323"/>
        <v>0</v>
      </c>
      <c r="J214" s="24">
        <f t="shared" si="324"/>
        <v>0</v>
      </c>
      <c r="K214" s="25"/>
      <c r="Z214" s="24">
        <f t="shared" si="325"/>
        <v>0</v>
      </c>
      <c r="AB214" s="24">
        <f t="shared" si="326"/>
        <v>0</v>
      </c>
      <c r="AC214" s="24">
        <f t="shared" si="327"/>
        <v>0</v>
      </c>
      <c r="AD214" s="24">
        <f t="shared" si="328"/>
        <v>0</v>
      </c>
      <c r="AE214" s="24">
        <f t="shared" si="329"/>
        <v>0</v>
      </c>
      <c r="AF214" s="24">
        <f t="shared" si="330"/>
        <v>0</v>
      </c>
      <c r="AG214" s="24">
        <f t="shared" si="331"/>
        <v>0</v>
      </c>
      <c r="AH214" s="24">
        <f t="shared" si="332"/>
        <v>0</v>
      </c>
      <c r="AI214" s="10" t="s">
        <v>43</v>
      </c>
      <c r="AJ214" s="24">
        <f t="shared" si="333"/>
        <v>0</v>
      </c>
      <c r="AK214" s="24">
        <f t="shared" si="334"/>
        <v>0</v>
      </c>
      <c r="AL214" s="24">
        <f t="shared" si="335"/>
        <v>0</v>
      </c>
      <c r="AN214" s="24">
        <v>21</v>
      </c>
      <c r="AO214" s="24">
        <f t="shared" si="336"/>
        <v>0</v>
      </c>
      <c r="AP214" s="24">
        <f t="shared" si="337"/>
        <v>0</v>
      </c>
      <c r="AQ214" s="26" t="s">
        <v>46</v>
      </c>
      <c r="AV214" s="24">
        <f t="shared" si="338"/>
        <v>0</v>
      </c>
      <c r="AW214" s="24">
        <f t="shared" si="339"/>
        <v>0</v>
      </c>
      <c r="AX214" s="24">
        <f t="shared" si="340"/>
        <v>0</v>
      </c>
      <c r="AY214" s="26" t="s">
        <v>650</v>
      </c>
      <c r="AZ214" s="26" t="s">
        <v>651</v>
      </c>
      <c r="BA214" s="10" t="s">
        <v>52</v>
      </c>
      <c r="BC214" s="24">
        <f t="shared" si="341"/>
        <v>0</v>
      </c>
      <c r="BD214" s="24">
        <f t="shared" si="342"/>
        <v>0</v>
      </c>
      <c r="BE214" s="24">
        <v>0</v>
      </c>
      <c r="BF214" s="24">
        <f>211</f>
        <v>211</v>
      </c>
      <c r="BH214" s="24">
        <f t="shared" si="343"/>
        <v>0</v>
      </c>
      <c r="BI214" s="24">
        <f t="shared" si="344"/>
        <v>0</v>
      </c>
      <c r="BJ214" s="24">
        <f t="shared" si="345"/>
        <v>0</v>
      </c>
      <c r="BK214" s="26" t="s">
        <v>53</v>
      </c>
      <c r="BL214" s="24"/>
      <c r="BW214" s="24">
        <v>21</v>
      </c>
      <c r="BX214" s="4" t="s">
        <v>654</v>
      </c>
    </row>
    <row r="215" spans="1:76" ht="14.4" x14ac:dyDescent="0.3">
      <c r="A215" s="2" t="s">
        <v>655</v>
      </c>
      <c r="B215" s="3" t="s">
        <v>656</v>
      </c>
      <c r="C215" s="82" t="s">
        <v>657</v>
      </c>
      <c r="D215" s="81"/>
      <c r="E215" s="3" t="s">
        <v>91</v>
      </c>
      <c r="F215" s="24">
        <v>1.8</v>
      </c>
      <c r="G215" s="180">
        <v>0</v>
      </c>
      <c r="H215" s="24">
        <f t="shared" si="322"/>
        <v>0</v>
      </c>
      <c r="I215" s="24">
        <f t="shared" si="323"/>
        <v>0</v>
      </c>
      <c r="J215" s="24">
        <f t="shared" si="324"/>
        <v>0</v>
      </c>
      <c r="K215" s="25"/>
      <c r="Z215" s="24">
        <f t="shared" si="325"/>
        <v>0</v>
      </c>
      <c r="AB215" s="24">
        <f t="shared" si="326"/>
        <v>0</v>
      </c>
      <c r="AC215" s="24">
        <f t="shared" si="327"/>
        <v>0</v>
      </c>
      <c r="AD215" s="24">
        <f t="shared" si="328"/>
        <v>0</v>
      </c>
      <c r="AE215" s="24">
        <f t="shared" si="329"/>
        <v>0</v>
      </c>
      <c r="AF215" s="24">
        <f t="shared" si="330"/>
        <v>0</v>
      </c>
      <c r="AG215" s="24">
        <f t="shared" si="331"/>
        <v>0</v>
      </c>
      <c r="AH215" s="24">
        <f t="shared" si="332"/>
        <v>0</v>
      </c>
      <c r="AI215" s="10" t="s">
        <v>43</v>
      </c>
      <c r="AJ215" s="24">
        <f t="shared" si="333"/>
        <v>0</v>
      </c>
      <c r="AK215" s="24">
        <f t="shared" si="334"/>
        <v>0</v>
      </c>
      <c r="AL215" s="24">
        <f t="shared" si="335"/>
        <v>0</v>
      </c>
      <c r="AN215" s="24">
        <v>21</v>
      </c>
      <c r="AO215" s="24">
        <f t="shared" si="336"/>
        <v>0</v>
      </c>
      <c r="AP215" s="24">
        <f t="shared" si="337"/>
        <v>0</v>
      </c>
      <c r="AQ215" s="26" t="s">
        <v>46</v>
      </c>
      <c r="AV215" s="24">
        <f t="shared" si="338"/>
        <v>0</v>
      </c>
      <c r="AW215" s="24">
        <f t="shared" si="339"/>
        <v>0</v>
      </c>
      <c r="AX215" s="24">
        <f t="shared" si="340"/>
        <v>0</v>
      </c>
      <c r="AY215" s="26" t="s">
        <v>650</v>
      </c>
      <c r="AZ215" s="26" t="s">
        <v>651</v>
      </c>
      <c r="BA215" s="10" t="s">
        <v>52</v>
      </c>
      <c r="BC215" s="24">
        <f t="shared" si="341"/>
        <v>0</v>
      </c>
      <c r="BD215" s="24">
        <f t="shared" si="342"/>
        <v>0</v>
      </c>
      <c r="BE215" s="24">
        <v>0</v>
      </c>
      <c r="BF215" s="24">
        <f>212</f>
        <v>212</v>
      </c>
      <c r="BH215" s="24">
        <f t="shared" si="343"/>
        <v>0</v>
      </c>
      <c r="BI215" s="24">
        <f t="shared" si="344"/>
        <v>0</v>
      </c>
      <c r="BJ215" s="24">
        <f t="shared" si="345"/>
        <v>0</v>
      </c>
      <c r="BK215" s="26" t="s">
        <v>53</v>
      </c>
      <c r="BL215" s="24"/>
      <c r="BW215" s="24">
        <v>21</v>
      </c>
      <c r="BX215" s="4" t="s">
        <v>657</v>
      </c>
    </row>
    <row r="216" spans="1:76" ht="26.4" x14ac:dyDescent="0.3">
      <c r="A216" s="2" t="s">
        <v>658</v>
      </c>
      <c r="B216" s="3" t="s">
        <v>659</v>
      </c>
      <c r="C216" s="82" t="s">
        <v>660</v>
      </c>
      <c r="D216" s="81"/>
      <c r="E216" s="3" t="s">
        <v>91</v>
      </c>
      <c r="F216" s="24">
        <v>0.5</v>
      </c>
      <c r="G216" s="180">
        <v>0</v>
      </c>
      <c r="H216" s="24">
        <f t="shared" si="322"/>
        <v>0</v>
      </c>
      <c r="I216" s="24">
        <f t="shared" si="323"/>
        <v>0</v>
      </c>
      <c r="J216" s="24">
        <f t="shared" si="324"/>
        <v>0</v>
      </c>
      <c r="K216" s="25"/>
      <c r="Z216" s="24">
        <f t="shared" si="325"/>
        <v>0</v>
      </c>
      <c r="AB216" s="24">
        <f t="shared" si="326"/>
        <v>0</v>
      </c>
      <c r="AC216" s="24">
        <f t="shared" si="327"/>
        <v>0</v>
      </c>
      <c r="AD216" s="24">
        <f t="shared" si="328"/>
        <v>0</v>
      </c>
      <c r="AE216" s="24">
        <f t="shared" si="329"/>
        <v>0</v>
      </c>
      <c r="AF216" s="24">
        <f t="shared" si="330"/>
        <v>0</v>
      </c>
      <c r="AG216" s="24">
        <f t="shared" si="331"/>
        <v>0</v>
      </c>
      <c r="AH216" s="24">
        <f t="shared" si="332"/>
        <v>0</v>
      </c>
      <c r="AI216" s="10" t="s">
        <v>43</v>
      </c>
      <c r="AJ216" s="24">
        <f t="shared" si="333"/>
        <v>0</v>
      </c>
      <c r="AK216" s="24">
        <f t="shared" si="334"/>
        <v>0</v>
      </c>
      <c r="AL216" s="24">
        <f t="shared" si="335"/>
        <v>0</v>
      </c>
      <c r="AN216" s="24">
        <v>21</v>
      </c>
      <c r="AO216" s="24">
        <f t="shared" si="336"/>
        <v>0</v>
      </c>
      <c r="AP216" s="24">
        <f t="shared" si="337"/>
        <v>0</v>
      </c>
      <c r="AQ216" s="26" t="s">
        <v>46</v>
      </c>
      <c r="AV216" s="24">
        <f t="shared" si="338"/>
        <v>0</v>
      </c>
      <c r="AW216" s="24">
        <f t="shared" si="339"/>
        <v>0</v>
      </c>
      <c r="AX216" s="24">
        <f t="shared" si="340"/>
        <v>0</v>
      </c>
      <c r="AY216" s="26" t="s">
        <v>650</v>
      </c>
      <c r="AZ216" s="26" t="s">
        <v>651</v>
      </c>
      <c r="BA216" s="10" t="s">
        <v>52</v>
      </c>
      <c r="BC216" s="24">
        <f t="shared" si="341"/>
        <v>0</v>
      </c>
      <c r="BD216" s="24">
        <f t="shared" si="342"/>
        <v>0</v>
      </c>
      <c r="BE216" s="24">
        <v>0</v>
      </c>
      <c r="BF216" s="24">
        <f>213</f>
        <v>213</v>
      </c>
      <c r="BH216" s="24">
        <f t="shared" si="343"/>
        <v>0</v>
      </c>
      <c r="BI216" s="24">
        <f t="shared" si="344"/>
        <v>0</v>
      </c>
      <c r="BJ216" s="24">
        <f t="shared" si="345"/>
        <v>0</v>
      </c>
      <c r="BK216" s="26" t="s">
        <v>53</v>
      </c>
      <c r="BL216" s="24"/>
      <c r="BW216" s="24">
        <v>21</v>
      </c>
      <c r="BX216" s="4" t="s">
        <v>660</v>
      </c>
    </row>
    <row r="217" spans="1:76" ht="14.4" x14ac:dyDescent="0.3">
      <c r="A217" s="2" t="s">
        <v>661</v>
      </c>
      <c r="B217" s="3" t="s">
        <v>662</v>
      </c>
      <c r="C217" s="82" t="s">
        <v>663</v>
      </c>
      <c r="D217" s="81"/>
      <c r="E217" s="3" t="s">
        <v>91</v>
      </c>
      <c r="F217" s="24">
        <v>6.2</v>
      </c>
      <c r="G217" s="180">
        <v>0</v>
      </c>
      <c r="H217" s="24">
        <f t="shared" si="322"/>
        <v>0</v>
      </c>
      <c r="I217" s="24">
        <f t="shared" si="323"/>
        <v>0</v>
      </c>
      <c r="J217" s="24">
        <f t="shared" si="324"/>
        <v>0</v>
      </c>
      <c r="K217" s="25"/>
      <c r="Z217" s="24">
        <f t="shared" si="325"/>
        <v>0</v>
      </c>
      <c r="AB217" s="24">
        <f t="shared" si="326"/>
        <v>0</v>
      </c>
      <c r="AC217" s="24">
        <f t="shared" si="327"/>
        <v>0</v>
      </c>
      <c r="AD217" s="24">
        <f t="shared" si="328"/>
        <v>0</v>
      </c>
      <c r="AE217" s="24">
        <f t="shared" si="329"/>
        <v>0</v>
      </c>
      <c r="AF217" s="24">
        <f t="shared" si="330"/>
        <v>0</v>
      </c>
      <c r="AG217" s="24">
        <f t="shared" si="331"/>
        <v>0</v>
      </c>
      <c r="AH217" s="24">
        <f t="shared" si="332"/>
        <v>0</v>
      </c>
      <c r="AI217" s="10" t="s">
        <v>43</v>
      </c>
      <c r="AJ217" s="24">
        <f t="shared" si="333"/>
        <v>0</v>
      </c>
      <c r="AK217" s="24">
        <f t="shared" si="334"/>
        <v>0</v>
      </c>
      <c r="AL217" s="24">
        <f t="shared" si="335"/>
        <v>0</v>
      </c>
      <c r="AN217" s="24">
        <v>21</v>
      </c>
      <c r="AO217" s="24">
        <f t="shared" si="336"/>
        <v>0</v>
      </c>
      <c r="AP217" s="24">
        <f t="shared" si="337"/>
        <v>0</v>
      </c>
      <c r="AQ217" s="26" t="s">
        <v>46</v>
      </c>
      <c r="AV217" s="24">
        <f t="shared" si="338"/>
        <v>0</v>
      </c>
      <c r="AW217" s="24">
        <f t="shared" si="339"/>
        <v>0</v>
      </c>
      <c r="AX217" s="24">
        <f t="shared" si="340"/>
        <v>0</v>
      </c>
      <c r="AY217" s="26" t="s">
        <v>650</v>
      </c>
      <c r="AZ217" s="26" t="s">
        <v>651</v>
      </c>
      <c r="BA217" s="10" t="s">
        <v>52</v>
      </c>
      <c r="BC217" s="24">
        <f t="shared" si="341"/>
        <v>0</v>
      </c>
      <c r="BD217" s="24">
        <f t="shared" si="342"/>
        <v>0</v>
      </c>
      <c r="BE217" s="24">
        <v>0</v>
      </c>
      <c r="BF217" s="24">
        <f>214</f>
        <v>214</v>
      </c>
      <c r="BH217" s="24">
        <f t="shared" si="343"/>
        <v>0</v>
      </c>
      <c r="BI217" s="24">
        <f t="shared" si="344"/>
        <v>0</v>
      </c>
      <c r="BJ217" s="24">
        <f t="shared" si="345"/>
        <v>0</v>
      </c>
      <c r="BK217" s="26" t="s">
        <v>53</v>
      </c>
      <c r="BL217" s="24"/>
      <c r="BW217" s="24">
        <v>21</v>
      </c>
      <c r="BX217" s="4" t="s">
        <v>663</v>
      </c>
    </row>
    <row r="218" spans="1:76" ht="26.4" x14ac:dyDescent="0.3">
      <c r="A218" s="2" t="s">
        <v>664</v>
      </c>
      <c r="B218" s="3" t="s">
        <v>665</v>
      </c>
      <c r="C218" s="82" t="s">
        <v>666</v>
      </c>
      <c r="D218" s="81"/>
      <c r="E218" s="3" t="s">
        <v>91</v>
      </c>
      <c r="F218" s="24">
        <v>9.1</v>
      </c>
      <c r="G218" s="180">
        <v>0</v>
      </c>
      <c r="H218" s="24">
        <f t="shared" si="322"/>
        <v>0</v>
      </c>
      <c r="I218" s="24">
        <f t="shared" si="323"/>
        <v>0</v>
      </c>
      <c r="J218" s="24">
        <f t="shared" si="324"/>
        <v>0</v>
      </c>
      <c r="K218" s="25"/>
      <c r="Z218" s="24">
        <f t="shared" si="325"/>
        <v>0</v>
      </c>
      <c r="AB218" s="24">
        <f t="shared" si="326"/>
        <v>0</v>
      </c>
      <c r="AC218" s="24">
        <f t="shared" si="327"/>
        <v>0</v>
      </c>
      <c r="AD218" s="24">
        <f t="shared" si="328"/>
        <v>0</v>
      </c>
      <c r="AE218" s="24">
        <f t="shared" si="329"/>
        <v>0</v>
      </c>
      <c r="AF218" s="24">
        <f t="shared" si="330"/>
        <v>0</v>
      </c>
      <c r="AG218" s="24">
        <f t="shared" si="331"/>
        <v>0</v>
      </c>
      <c r="AH218" s="24">
        <f t="shared" si="332"/>
        <v>0</v>
      </c>
      <c r="AI218" s="10" t="s">
        <v>43</v>
      </c>
      <c r="AJ218" s="24">
        <f t="shared" si="333"/>
        <v>0</v>
      </c>
      <c r="AK218" s="24">
        <f t="shared" si="334"/>
        <v>0</v>
      </c>
      <c r="AL218" s="24">
        <f t="shared" si="335"/>
        <v>0</v>
      </c>
      <c r="AN218" s="24">
        <v>21</v>
      </c>
      <c r="AO218" s="24">
        <f t="shared" si="336"/>
        <v>0</v>
      </c>
      <c r="AP218" s="24">
        <f t="shared" si="337"/>
        <v>0</v>
      </c>
      <c r="AQ218" s="26" t="s">
        <v>46</v>
      </c>
      <c r="AV218" s="24">
        <f t="shared" si="338"/>
        <v>0</v>
      </c>
      <c r="AW218" s="24">
        <f t="shared" si="339"/>
        <v>0</v>
      </c>
      <c r="AX218" s="24">
        <f t="shared" si="340"/>
        <v>0</v>
      </c>
      <c r="AY218" s="26" t="s">
        <v>650</v>
      </c>
      <c r="AZ218" s="26" t="s">
        <v>651</v>
      </c>
      <c r="BA218" s="10" t="s">
        <v>52</v>
      </c>
      <c r="BC218" s="24">
        <f t="shared" si="341"/>
        <v>0</v>
      </c>
      <c r="BD218" s="24">
        <f t="shared" si="342"/>
        <v>0</v>
      </c>
      <c r="BE218" s="24">
        <v>0</v>
      </c>
      <c r="BF218" s="24">
        <f>215</f>
        <v>215</v>
      </c>
      <c r="BH218" s="24">
        <f t="shared" si="343"/>
        <v>0</v>
      </c>
      <c r="BI218" s="24">
        <f t="shared" si="344"/>
        <v>0</v>
      </c>
      <c r="BJ218" s="24">
        <f t="shared" si="345"/>
        <v>0</v>
      </c>
      <c r="BK218" s="26" t="s">
        <v>53</v>
      </c>
      <c r="BL218" s="24"/>
      <c r="BW218" s="24">
        <v>21</v>
      </c>
      <c r="BX218" s="4" t="s">
        <v>666</v>
      </c>
    </row>
    <row r="219" spans="1:76" ht="26.4" x14ac:dyDescent="0.3">
      <c r="A219" s="2" t="s">
        <v>667</v>
      </c>
      <c r="B219" s="3" t="s">
        <v>668</v>
      </c>
      <c r="C219" s="82" t="s">
        <v>669</v>
      </c>
      <c r="D219" s="81"/>
      <c r="E219" s="3" t="s">
        <v>91</v>
      </c>
      <c r="F219" s="24">
        <v>2.6</v>
      </c>
      <c r="G219" s="180">
        <v>0</v>
      </c>
      <c r="H219" s="24">
        <f t="shared" si="322"/>
        <v>0</v>
      </c>
      <c r="I219" s="24">
        <f t="shared" si="323"/>
        <v>0</v>
      </c>
      <c r="J219" s="24">
        <f t="shared" si="324"/>
        <v>0</v>
      </c>
      <c r="K219" s="25"/>
      <c r="Z219" s="24">
        <f t="shared" si="325"/>
        <v>0</v>
      </c>
      <c r="AB219" s="24">
        <f t="shared" si="326"/>
        <v>0</v>
      </c>
      <c r="AC219" s="24">
        <f t="shared" si="327"/>
        <v>0</v>
      </c>
      <c r="AD219" s="24">
        <f t="shared" si="328"/>
        <v>0</v>
      </c>
      <c r="AE219" s="24">
        <f t="shared" si="329"/>
        <v>0</v>
      </c>
      <c r="AF219" s="24">
        <f t="shared" si="330"/>
        <v>0</v>
      </c>
      <c r="AG219" s="24">
        <f t="shared" si="331"/>
        <v>0</v>
      </c>
      <c r="AH219" s="24">
        <f t="shared" si="332"/>
        <v>0</v>
      </c>
      <c r="AI219" s="10" t="s">
        <v>43</v>
      </c>
      <c r="AJ219" s="24">
        <f t="shared" si="333"/>
        <v>0</v>
      </c>
      <c r="AK219" s="24">
        <f t="shared" si="334"/>
        <v>0</v>
      </c>
      <c r="AL219" s="24">
        <f t="shared" si="335"/>
        <v>0</v>
      </c>
      <c r="AN219" s="24">
        <v>21</v>
      </c>
      <c r="AO219" s="24">
        <f t="shared" si="336"/>
        <v>0</v>
      </c>
      <c r="AP219" s="24">
        <f t="shared" si="337"/>
        <v>0</v>
      </c>
      <c r="AQ219" s="26" t="s">
        <v>46</v>
      </c>
      <c r="AV219" s="24">
        <f t="shared" si="338"/>
        <v>0</v>
      </c>
      <c r="AW219" s="24">
        <f t="shared" si="339"/>
        <v>0</v>
      </c>
      <c r="AX219" s="24">
        <f t="shared" si="340"/>
        <v>0</v>
      </c>
      <c r="AY219" s="26" t="s">
        <v>650</v>
      </c>
      <c r="AZ219" s="26" t="s">
        <v>651</v>
      </c>
      <c r="BA219" s="10" t="s">
        <v>52</v>
      </c>
      <c r="BC219" s="24">
        <f t="shared" si="341"/>
        <v>0</v>
      </c>
      <c r="BD219" s="24">
        <f t="shared" si="342"/>
        <v>0</v>
      </c>
      <c r="BE219" s="24">
        <v>0</v>
      </c>
      <c r="BF219" s="24">
        <f>216</f>
        <v>216</v>
      </c>
      <c r="BH219" s="24">
        <f t="shared" si="343"/>
        <v>0</v>
      </c>
      <c r="BI219" s="24">
        <f t="shared" si="344"/>
        <v>0</v>
      </c>
      <c r="BJ219" s="24">
        <f t="shared" si="345"/>
        <v>0</v>
      </c>
      <c r="BK219" s="26" t="s">
        <v>53</v>
      </c>
      <c r="BL219" s="24"/>
      <c r="BW219" s="24">
        <v>21</v>
      </c>
      <c r="BX219" s="4" t="s">
        <v>669</v>
      </c>
    </row>
    <row r="220" spans="1:76" ht="14.4" x14ac:dyDescent="0.3">
      <c r="A220" s="2" t="s">
        <v>670</v>
      </c>
      <c r="B220" s="3" t="s">
        <v>671</v>
      </c>
      <c r="C220" s="82" t="s">
        <v>672</v>
      </c>
      <c r="D220" s="81"/>
      <c r="E220" s="3" t="s">
        <v>76</v>
      </c>
      <c r="F220" s="24">
        <v>3</v>
      </c>
      <c r="G220" s="180">
        <v>0</v>
      </c>
      <c r="H220" s="24">
        <f t="shared" si="322"/>
        <v>0</v>
      </c>
      <c r="I220" s="24">
        <f t="shared" si="323"/>
        <v>0</v>
      </c>
      <c r="J220" s="24">
        <f t="shared" si="324"/>
        <v>0</v>
      </c>
      <c r="K220" s="25"/>
      <c r="Z220" s="24">
        <f t="shared" si="325"/>
        <v>0</v>
      </c>
      <c r="AB220" s="24">
        <f t="shared" si="326"/>
        <v>0</v>
      </c>
      <c r="AC220" s="24">
        <f t="shared" si="327"/>
        <v>0</v>
      </c>
      <c r="AD220" s="24">
        <f t="shared" si="328"/>
        <v>0</v>
      </c>
      <c r="AE220" s="24">
        <f t="shared" si="329"/>
        <v>0</v>
      </c>
      <c r="AF220" s="24">
        <f t="shared" si="330"/>
        <v>0</v>
      </c>
      <c r="AG220" s="24">
        <f t="shared" si="331"/>
        <v>0</v>
      </c>
      <c r="AH220" s="24">
        <f t="shared" si="332"/>
        <v>0</v>
      </c>
      <c r="AI220" s="10" t="s">
        <v>43</v>
      </c>
      <c r="AJ220" s="24">
        <f t="shared" si="333"/>
        <v>0</v>
      </c>
      <c r="AK220" s="24">
        <f t="shared" si="334"/>
        <v>0</v>
      </c>
      <c r="AL220" s="24">
        <f t="shared" si="335"/>
        <v>0</v>
      </c>
      <c r="AN220" s="24">
        <v>21</v>
      </c>
      <c r="AO220" s="24">
        <f t="shared" si="336"/>
        <v>0</v>
      </c>
      <c r="AP220" s="24">
        <f t="shared" si="337"/>
        <v>0</v>
      </c>
      <c r="AQ220" s="26" t="s">
        <v>46</v>
      </c>
      <c r="AV220" s="24">
        <f t="shared" si="338"/>
        <v>0</v>
      </c>
      <c r="AW220" s="24">
        <f t="shared" si="339"/>
        <v>0</v>
      </c>
      <c r="AX220" s="24">
        <f t="shared" si="340"/>
        <v>0</v>
      </c>
      <c r="AY220" s="26" t="s">
        <v>650</v>
      </c>
      <c r="AZ220" s="26" t="s">
        <v>651</v>
      </c>
      <c r="BA220" s="10" t="s">
        <v>52</v>
      </c>
      <c r="BC220" s="24">
        <f t="shared" si="341"/>
        <v>0</v>
      </c>
      <c r="BD220" s="24">
        <f t="shared" si="342"/>
        <v>0</v>
      </c>
      <c r="BE220" s="24">
        <v>0</v>
      </c>
      <c r="BF220" s="24">
        <f>217</f>
        <v>217</v>
      </c>
      <c r="BH220" s="24">
        <f t="shared" si="343"/>
        <v>0</v>
      </c>
      <c r="BI220" s="24">
        <f t="shared" si="344"/>
        <v>0</v>
      </c>
      <c r="BJ220" s="24">
        <f t="shared" si="345"/>
        <v>0</v>
      </c>
      <c r="BK220" s="26" t="s">
        <v>53</v>
      </c>
      <c r="BL220" s="24"/>
      <c r="BW220" s="24">
        <v>21</v>
      </c>
      <c r="BX220" s="4" t="s">
        <v>672</v>
      </c>
    </row>
    <row r="221" spans="1:76" ht="14.4" x14ac:dyDescent="0.3">
      <c r="A221" s="2" t="s">
        <v>673</v>
      </c>
      <c r="B221" s="3" t="s">
        <v>674</v>
      </c>
      <c r="C221" s="82" t="s">
        <v>675</v>
      </c>
      <c r="D221" s="81"/>
      <c r="E221" s="3" t="s">
        <v>76</v>
      </c>
      <c r="F221" s="24">
        <v>1</v>
      </c>
      <c r="G221" s="180">
        <v>0</v>
      </c>
      <c r="H221" s="24">
        <f t="shared" si="322"/>
        <v>0</v>
      </c>
      <c r="I221" s="24">
        <f t="shared" si="323"/>
        <v>0</v>
      </c>
      <c r="J221" s="24">
        <f t="shared" si="324"/>
        <v>0</v>
      </c>
      <c r="K221" s="25"/>
      <c r="Z221" s="24">
        <f t="shared" si="325"/>
        <v>0</v>
      </c>
      <c r="AB221" s="24">
        <f t="shared" si="326"/>
        <v>0</v>
      </c>
      <c r="AC221" s="24">
        <f t="shared" si="327"/>
        <v>0</v>
      </c>
      <c r="AD221" s="24">
        <f t="shared" si="328"/>
        <v>0</v>
      </c>
      <c r="AE221" s="24">
        <f t="shared" si="329"/>
        <v>0</v>
      </c>
      <c r="AF221" s="24">
        <f t="shared" si="330"/>
        <v>0</v>
      </c>
      <c r="AG221" s="24">
        <f t="shared" si="331"/>
        <v>0</v>
      </c>
      <c r="AH221" s="24">
        <f t="shared" si="332"/>
        <v>0</v>
      </c>
      <c r="AI221" s="10" t="s">
        <v>43</v>
      </c>
      <c r="AJ221" s="24">
        <f t="shared" si="333"/>
        <v>0</v>
      </c>
      <c r="AK221" s="24">
        <f t="shared" si="334"/>
        <v>0</v>
      </c>
      <c r="AL221" s="24">
        <f t="shared" si="335"/>
        <v>0</v>
      </c>
      <c r="AN221" s="24">
        <v>21</v>
      </c>
      <c r="AO221" s="24">
        <f t="shared" si="336"/>
        <v>0</v>
      </c>
      <c r="AP221" s="24">
        <f t="shared" si="337"/>
        <v>0</v>
      </c>
      <c r="AQ221" s="26" t="s">
        <v>46</v>
      </c>
      <c r="AV221" s="24">
        <f t="shared" si="338"/>
        <v>0</v>
      </c>
      <c r="AW221" s="24">
        <f t="shared" si="339"/>
        <v>0</v>
      </c>
      <c r="AX221" s="24">
        <f t="shared" si="340"/>
        <v>0</v>
      </c>
      <c r="AY221" s="26" t="s">
        <v>650</v>
      </c>
      <c r="AZ221" s="26" t="s">
        <v>651</v>
      </c>
      <c r="BA221" s="10" t="s">
        <v>52</v>
      </c>
      <c r="BC221" s="24">
        <f t="shared" si="341"/>
        <v>0</v>
      </c>
      <c r="BD221" s="24">
        <f t="shared" si="342"/>
        <v>0</v>
      </c>
      <c r="BE221" s="24">
        <v>0</v>
      </c>
      <c r="BF221" s="24">
        <f>218</f>
        <v>218</v>
      </c>
      <c r="BH221" s="24">
        <f t="shared" si="343"/>
        <v>0</v>
      </c>
      <c r="BI221" s="24">
        <f t="shared" si="344"/>
        <v>0</v>
      </c>
      <c r="BJ221" s="24">
        <f t="shared" si="345"/>
        <v>0</v>
      </c>
      <c r="BK221" s="26" t="s">
        <v>53</v>
      </c>
      <c r="BL221" s="24"/>
      <c r="BW221" s="24">
        <v>21</v>
      </c>
      <c r="BX221" s="4" t="s">
        <v>675</v>
      </c>
    </row>
    <row r="222" spans="1:76" ht="26.4" x14ac:dyDescent="0.3">
      <c r="A222" s="2" t="s">
        <v>676</v>
      </c>
      <c r="B222" s="3" t="s">
        <v>677</v>
      </c>
      <c r="C222" s="82" t="s">
        <v>678</v>
      </c>
      <c r="D222" s="81"/>
      <c r="E222" s="3" t="s">
        <v>76</v>
      </c>
      <c r="F222" s="24">
        <v>1</v>
      </c>
      <c r="G222" s="180">
        <v>0</v>
      </c>
      <c r="H222" s="24">
        <f t="shared" si="322"/>
        <v>0</v>
      </c>
      <c r="I222" s="24">
        <f t="shared" si="323"/>
        <v>0</v>
      </c>
      <c r="J222" s="24">
        <f t="shared" si="324"/>
        <v>0</v>
      </c>
      <c r="K222" s="25"/>
      <c r="Z222" s="24">
        <f t="shared" si="325"/>
        <v>0</v>
      </c>
      <c r="AB222" s="24">
        <f t="shared" si="326"/>
        <v>0</v>
      </c>
      <c r="AC222" s="24">
        <f t="shared" si="327"/>
        <v>0</v>
      </c>
      <c r="AD222" s="24">
        <f t="shared" si="328"/>
        <v>0</v>
      </c>
      <c r="AE222" s="24">
        <f t="shared" si="329"/>
        <v>0</v>
      </c>
      <c r="AF222" s="24">
        <f t="shared" si="330"/>
        <v>0</v>
      </c>
      <c r="AG222" s="24">
        <f t="shared" si="331"/>
        <v>0</v>
      </c>
      <c r="AH222" s="24">
        <f t="shared" si="332"/>
        <v>0</v>
      </c>
      <c r="AI222" s="10" t="s">
        <v>43</v>
      </c>
      <c r="AJ222" s="24">
        <f t="shared" si="333"/>
        <v>0</v>
      </c>
      <c r="AK222" s="24">
        <f t="shared" si="334"/>
        <v>0</v>
      </c>
      <c r="AL222" s="24">
        <f t="shared" si="335"/>
        <v>0</v>
      </c>
      <c r="AN222" s="24">
        <v>21</v>
      </c>
      <c r="AO222" s="24">
        <f t="shared" si="336"/>
        <v>0</v>
      </c>
      <c r="AP222" s="24">
        <f t="shared" si="337"/>
        <v>0</v>
      </c>
      <c r="AQ222" s="26" t="s">
        <v>46</v>
      </c>
      <c r="AV222" s="24">
        <f t="shared" si="338"/>
        <v>0</v>
      </c>
      <c r="AW222" s="24">
        <f t="shared" si="339"/>
        <v>0</v>
      </c>
      <c r="AX222" s="24">
        <f t="shared" si="340"/>
        <v>0</v>
      </c>
      <c r="AY222" s="26" t="s">
        <v>650</v>
      </c>
      <c r="AZ222" s="26" t="s">
        <v>651</v>
      </c>
      <c r="BA222" s="10" t="s">
        <v>52</v>
      </c>
      <c r="BC222" s="24">
        <f t="shared" si="341"/>
        <v>0</v>
      </c>
      <c r="BD222" s="24">
        <f t="shared" si="342"/>
        <v>0</v>
      </c>
      <c r="BE222" s="24">
        <v>0</v>
      </c>
      <c r="BF222" s="24">
        <f>219</f>
        <v>219</v>
      </c>
      <c r="BH222" s="24">
        <f t="shared" si="343"/>
        <v>0</v>
      </c>
      <c r="BI222" s="24">
        <f t="shared" si="344"/>
        <v>0</v>
      </c>
      <c r="BJ222" s="24">
        <f t="shared" si="345"/>
        <v>0</v>
      </c>
      <c r="BK222" s="26" t="s">
        <v>53</v>
      </c>
      <c r="BL222" s="24"/>
      <c r="BW222" s="24">
        <v>21</v>
      </c>
      <c r="BX222" s="4" t="s">
        <v>678</v>
      </c>
    </row>
    <row r="223" spans="1:76" ht="14.4" x14ac:dyDescent="0.3">
      <c r="A223" s="2" t="s">
        <v>679</v>
      </c>
      <c r="B223" s="3" t="s">
        <v>680</v>
      </c>
      <c r="C223" s="82" t="s">
        <v>681</v>
      </c>
      <c r="D223" s="81"/>
      <c r="E223" s="3" t="s">
        <v>91</v>
      </c>
      <c r="F223" s="24">
        <v>17.899999999999999</v>
      </c>
      <c r="G223" s="180">
        <v>0</v>
      </c>
      <c r="H223" s="24">
        <f t="shared" si="322"/>
        <v>0</v>
      </c>
      <c r="I223" s="24">
        <f t="shared" si="323"/>
        <v>0</v>
      </c>
      <c r="J223" s="24">
        <f t="shared" si="324"/>
        <v>0</v>
      </c>
      <c r="K223" s="25"/>
      <c r="Z223" s="24">
        <f t="shared" si="325"/>
        <v>0</v>
      </c>
      <c r="AB223" s="24">
        <f t="shared" si="326"/>
        <v>0</v>
      </c>
      <c r="AC223" s="24">
        <f t="shared" si="327"/>
        <v>0</v>
      </c>
      <c r="AD223" s="24">
        <f t="shared" si="328"/>
        <v>0</v>
      </c>
      <c r="AE223" s="24">
        <f t="shared" si="329"/>
        <v>0</v>
      </c>
      <c r="AF223" s="24">
        <f t="shared" si="330"/>
        <v>0</v>
      </c>
      <c r="AG223" s="24">
        <f t="shared" si="331"/>
        <v>0</v>
      </c>
      <c r="AH223" s="24">
        <f t="shared" si="332"/>
        <v>0</v>
      </c>
      <c r="AI223" s="10" t="s">
        <v>43</v>
      </c>
      <c r="AJ223" s="24">
        <f t="shared" si="333"/>
        <v>0</v>
      </c>
      <c r="AK223" s="24">
        <f t="shared" si="334"/>
        <v>0</v>
      </c>
      <c r="AL223" s="24">
        <f t="shared" si="335"/>
        <v>0</v>
      </c>
      <c r="AN223" s="24">
        <v>21</v>
      </c>
      <c r="AO223" s="24">
        <f t="shared" si="336"/>
        <v>0</v>
      </c>
      <c r="AP223" s="24">
        <f t="shared" si="337"/>
        <v>0</v>
      </c>
      <c r="AQ223" s="26" t="s">
        <v>46</v>
      </c>
      <c r="AV223" s="24">
        <f t="shared" si="338"/>
        <v>0</v>
      </c>
      <c r="AW223" s="24">
        <f t="shared" si="339"/>
        <v>0</v>
      </c>
      <c r="AX223" s="24">
        <f t="shared" si="340"/>
        <v>0</v>
      </c>
      <c r="AY223" s="26" t="s">
        <v>650</v>
      </c>
      <c r="AZ223" s="26" t="s">
        <v>651</v>
      </c>
      <c r="BA223" s="10" t="s">
        <v>52</v>
      </c>
      <c r="BC223" s="24">
        <f t="shared" si="341"/>
        <v>0</v>
      </c>
      <c r="BD223" s="24">
        <f t="shared" si="342"/>
        <v>0</v>
      </c>
      <c r="BE223" s="24">
        <v>0</v>
      </c>
      <c r="BF223" s="24">
        <f>220</f>
        <v>220</v>
      </c>
      <c r="BH223" s="24">
        <f t="shared" si="343"/>
        <v>0</v>
      </c>
      <c r="BI223" s="24">
        <f t="shared" si="344"/>
        <v>0</v>
      </c>
      <c r="BJ223" s="24">
        <f t="shared" si="345"/>
        <v>0</v>
      </c>
      <c r="BK223" s="26" t="s">
        <v>53</v>
      </c>
      <c r="BL223" s="24"/>
      <c r="BW223" s="24">
        <v>21</v>
      </c>
      <c r="BX223" s="4" t="s">
        <v>681</v>
      </c>
    </row>
    <row r="224" spans="1:76" ht="14.4" x14ac:dyDescent="0.3">
      <c r="A224" s="2" t="s">
        <v>682</v>
      </c>
      <c r="B224" s="3" t="s">
        <v>683</v>
      </c>
      <c r="C224" s="82" t="s">
        <v>684</v>
      </c>
      <c r="D224" s="81"/>
      <c r="E224" s="3" t="s">
        <v>91</v>
      </c>
      <c r="F224" s="24">
        <v>17.899999999999999</v>
      </c>
      <c r="G224" s="180">
        <v>0</v>
      </c>
      <c r="H224" s="24">
        <f t="shared" si="322"/>
        <v>0</v>
      </c>
      <c r="I224" s="24">
        <f t="shared" si="323"/>
        <v>0</v>
      </c>
      <c r="J224" s="24">
        <f t="shared" si="324"/>
        <v>0</v>
      </c>
      <c r="K224" s="25"/>
      <c r="Z224" s="24">
        <f t="shared" si="325"/>
        <v>0</v>
      </c>
      <c r="AB224" s="24">
        <f t="shared" si="326"/>
        <v>0</v>
      </c>
      <c r="AC224" s="24">
        <f t="shared" si="327"/>
        <v>0</v>
      </c>
      <c r="AD224" s="24">
        <f t="shared" si="328"/>
        <v>0</v>
      </c>
      <c r="AE224" s="24">
        <f t="shared" si="329"/>
        <v>0</v>
      </c>
      <c r="AF224" s="24">
        <f t="shared" si="330"/>
        <v>0</v>
      </c>
      <c r="AG224" s="24">
        <f t="shared" si="331"/>
        <v>0</v>
      </c>
      <c r="AH224" s="24">
        <f t="shared" si="332"/>
        <v>0</v>
      </c>
      <c r="AI224" s="10" t="s">
        <v>43</v>
      </c>
      <c r="AJ224" s="24">
        <f t="shared" si="333"/>
        <v>0</v>
      </c>
      <c r="AK224" s="24">
        <f t="shared" si="334"/>
        <v>0</v>
      </c>
      <c r="AL224" s="24">
        <f t="shared" si="335"/>
        <v>0</v>
      </c>
      <c r="AN224" s="24">
        <v>21</v>
      </c>
      <c r="AO224" s="24">
        <f t="shared" si="336"/>
        <v>0</v>
      </c>
      <c r="AP224" s="24">
        <f t="shared" si="337"/>
        <v>0</v>
      </c>
      <c r="AQ224" s="26" t="s">
        <v>46</v>
      </c>
      <c r="AV224" s="24">
        <f t="shared" si="338"/>
        <v>0</v>
      </c>
      <c r="AW224" s="24">
        <f t="shared" si="339"/>
        <v>0</v>
      </c>
      <c r="AX224" s="24">
        <f t="shared" si="340"/>
        <v>0</v>
      </c>
      <c r="AY224" s="26" t="s">
        <v>650</v>
      </c>
      <c r="AZ224" s="26" t="s">
        <v>651</v>
      </c>
      <c r="BA224" s="10" t="s">
        <v>52</v>
      </c>
      <c r="BC224" s="24">
        <f t="shared" si="341"/>
        <v>0</v>
      </c>
      <c r="BD224" s="24">
        <f t="shared" si="342"/>
        <v>0</v>
      </c>
      <c r="BE224" s="24">
        <v>0</v>
      </c>
      <c r="BF224" s="24">
        <f>221</f>
        <v>221</v>
      </c>
      <c r="BH224" s="24">
        <f t="shared" si="343"/>
        <v>0</v>
      </c>
      <c r="BI224" s="24">
        <f t="shared" si="344"/>
        <v>0</v>
      </c>
      <c r="BJ224" s="24">
        <f t="shared" si="345"/>
        <v>0</v>
      </c>
      <c r="BK224" s="26" t="s">
        <v>53</v>
      </c>
      <c r="BL224" s="24"/>
      <c r="BW224" s="24">
        <v>21</v>
      </c>
      <c r="BX224" s="4" t="s">
        <v>684</v>
      </c>
    </row>
    <row r="225" spans="1:76" ht="14.4" x14ac:dyDescent="0.3">
      <c r="A225" s="2" t="s">
        <v>685</v>
      </c>
      <c r="B225" s="3" t="s">
        <v>686</v>
      </c>
      <c r="C225" s="82" t="s">
        <v>687</v>
      </c>
      <c r="D225" s="81"/>
      <c r="E225" s="3" t="s">
        <v>91</v>
      </c>
      <c r="F225" s="24">
        <v>9.1</v>
      </c>
      <c r="G225" s="180">
        <v>0</v>
      </c>
      <c r="H225" s="24">
        <f t="shared" si="322"/>
        <v>0</v>
      </c>
      <c r="I225" s="24">
        <f t="shared" si="323"/>
        <v>0</v>
      </c>
      <c r="J225" s="24">
        <f t="shared" si="324"/>
        <v>0</v>
      </c>
      <c r="K225" s="25"/>
      <c r="Z225" s="24">
        <f t="shared" si="325"/>
        <v>0</v>
      </c>
      <c r="AB225" s="24">
        <f t="shared" si="326"/>
        <v>0</v>
      </c>
      <c r="AC225" s="24">
        <f t="shared" si="327"/>
        <v>0</v>
      </c>
      <c r="AD225" s="24">
        <f t="shared" si="328"/>
        <v>0</v>
      </c>
      <c r="AE225" s="24">
        <f t="shared" si="329"/>
        <v>0</v>
      </c>
      <c r="AF225" s="24">
        <f t="shared" si="330"/>
        <v>0</v>
      </c>
      <c r="AG225" s="24">
        <f t="shared" si="331"/>
        <v>0</v>
      </c>
      <c r="AH225" s="24">
        <f t="shared" si="332"/>
        <v>0</v>
      </c>
      <c r="AI225" s="10" t="s">
        <v>43</v>
      </c>
      <c r="AJ225" s="24">
        <f t="shared" si="333"/>
        <v>0</v>
      </c>
      <c r="AK225" s="24">
        <f t="shared" si="334"/>
        <v>0</v>
      </c>
      <c r="AL225" s="24">
        <f t="shared" si="335"/>
        <v>0</v>
      </c>
      <c r="AN225" s="24">
        <v>21</v>
      </c>
      <c r="AO225" s="24">
        <f t="shared" si="336"/>
        <v>0</v>
      </c>
      <c r="AP225" s="24">
        <f t="shared" si="337"/>
        <v>0</v>
      </c>
      <c r="AQ225" s="26" t="s">
        <v>46</v>
      </c>
      <c r="AV225" s="24">
        <f t="shared" si="338"/>
        <v>0</v>
      </c>
      <c r="AW225" s="24">
        <f t="shared" si="339"/>
        <v>0</v>
      </c>
      <c r="AX225" s="24">
        <f t="shared" si="340"/>
        <v>0</v>
      </c>
      <c r="AY225" s="26" t="s">
        <v>650</v>
      </c>
      <c r="AZ225" s="26" t="s">
        <v>651</v>
      </c>
      <c r="BA225" s="10" t="s">
        <v>52</v>
      </c>
      <c r="BC225" s="24">
        <f t="shared" si="341"/>
        <v>0</v>
      </c>
      <c r="BD225" s="24">
        <f t="shared" si="342"/>
        <v>0</v>
      </c>
      <c r="BE225" s="24">
        <v>0</v>
      </c>
      <c r="BF225" s="24">
        <f>222</f>
        <v>222</v>
      </c>
      <c r="BH225" s="24">
        <f t="shared" si="343"/>
        <v>0</v>
      </c>
      <c r="BI225" s="24">
        <f t="shared" si="344"/>
        <v>0</v>
      </c>
      <c r="BJ225" s="24">
        <f t="shared" si="345"/>
        <v>0</v>
      </c>
      <c r="BK225" s="26" t="s">
        <v>53</v>
      </c>
      <c r="BL225" s="24"/>
      <c r="BW225" s="24">
        <v>21</v>
      </c>
      <c r="BX225" s="4" t="s">
        <v>687</v>
      </c>
    </row>
    <row r="226" spans="1:76" ht="14.4" x14ac:dyDescent="0.3">
      <c r="A226" s="2" t="s">
        <v>688</v>
      </c>
      <c r="B226" s="3" t="s">
        <v>689</v>
      </c>
      <c r="C226" s="82" t="s">
        <v>690</v>
      </c>
      <c r="D226" s="81"/>
      <c r="E226" s="3" t="s">
        <v>174</v>
      </c>
      <c r="F226" s="24">
        <v>1</v>
      </c>
      <c r="G226" s="180">
        <v>0</v>
      </c>
      <c r="H226" s="24">
        <f t="shared" si="322"/>
        <v>0</v>
      </c>
      <c r="I226" s="24">
        <f t="shared" si="323"/>
        <v>0</v>
      </c>
      <c r="J226" s="24">
        <f t="shared" si="324"/>
        <v>0</v>
      </c>
      <c r="K226" s="25"/>
      <c r="Z226" s="24">
        <f t="shared" si="325"/>
        <v>0</v>
      </c>
      <c r="AB226" s="24">
        <f t="shared" si="326"/>
        <v>0</v>
      </c>
      <c r="AC226" s="24">
        <f t="shared" si="327"/>
        <v>0</v>
      </c>
      <c r="AD226" s="24">
        <f t="shared" si="328"/>
        <v>0</v>
      </c>
      <c r="AE226" s="24">
        <f t="shared" si="329"/>
        <v>0</v>
      </c>
      <c r="AF226" s="24">
        <f t="shared" si="330"/>
        <v>0</v>
      </c>
      <c r="AG226" s="24">
        <f t="shared" si="331"/>
        <v>0</v>
      </c>
      <c r="AH226" s="24">
        <f t="shared" si="332"/>
        <v>0</v>
      </c>
      <c r="AI226" s="10" t="s">
        <v>43</v>
      </c>
      <c r="AJ226" s="24">
        <f t="shared" si="333"/>
        <v>0</v>
      </c>
      <c r="AK226" s="24">
        <f t="shared" si="334"/>
        <v>0</v>
      </c>
      <c r="AL226" s="24">
        <f t="shared" si="335"/>
        <v>0</v>
      </c>
      <c r="AN226" s="24">
        <v>21</v>
      </c>
      <c r="AO226" s="24">
        <f t="shared" si="336"/>
        <v>0</v>
      </c>
      <c r="AP226" s="24">
        <f t="shared" si="337"/>
        <v>0</v>
      </c>
      <c r="AQ226" s="26" t="s">
        <v>46</v>
      </c>
      <c r="AV226" s="24">
        <f t="shared" si="338"/>
        <v>0</v>
      </c>
      <c r="AW226" s="24">
        <f t="shared" si="339"/>
        <v>0</v>
      </c>
      <c r="AX226" s="24">
        <f t="shared" si="340"/>
        <v>0</v>
      </c>
      <c r="AY226" s="26" t="s">
        <v>650</v>
      </c>
      <c r="AZ226" s="26" t="s">
        <v>651</v>
      </c>
      <c r="BA226" s="10" t="s">
        <v>52</v>
      </c>
      <c r="BC226" s="24">
        <f t="shared" si="341"/>
        <v>0</v>
      </c>
      <c r="BD226" s="24">
        <f t="shared" si="342"/>
        <v>0</v>
      </c>
      <c r="BE226" s="24">
        <v>0</v>
      </c>
      <c r="BF226" s="24">
        <f>223</f>
        <v>223</v>
      </c>
      <c r="BH226" s="24">
        <f t="shared" si="343"/>
        <v>0</v>
      </c>
      <c r="BI226" s="24">
        <f t="shared" si="344"/>
        <v>0</v>
      </c>
      <c r="BJ226" s="24">
        <f t="shared" si="345"/>
        <v>0</v>
      </c>
      <c r="BK226" s="26" t="s">
        <v>53</v>
      </c>
      <c r="BL226" s="24"/>
      <c r="BW226" s="24">
        <v>21</v>
      </c>
      <c r="BX226" s="4" t="s">
        <v>690</v>
      </c>
    </row>
    <row r="227" spans="1:76" ht="14.4" x14ac:dyDescent="0.3">
      <c r="A227" s="2" t="s">
        <v>691</v>
      </c>
      <c r="B227" s="3" t="s">
        <v>692</v>
      </c>
      <c r="C227" s="82" t="s">
        <v>693</v>
      </c>
      <c r="D227" s="81"/>
      <c r="E227" s="3" t="s">
        <v>174</v>
      </c>
      <c r="F227" s="24">
        <v>2</v>
      </c>
      <c r="G227" s="180">
        <v>0</v>
      </c>
      <c r="H227" s="24">
        <f t="shared" si="322"/>
        <v>0</v>
      </c>
      <c r="I227" s="24">
        <f t="shared" si="323"/>
        <v>0</v>
      </c>
      <c r="J227" s="24">
        <f t="shared" si="324"/>
        <v>0</v>
      </c>
      <c r="K227" s="25"/>
      <c r="Z227" s="24">
        <f t="shared" si="325"/>
        <v>0</v>
      </c>
      <c r="AB227" s="24">
        <f t="shared" si="326"/>
        <v>0</v>
      </c>
      <c r="AC227" s="24">
        <f t="shared" si="327"/>
        <v>0</v>
      </c>
      <c r="AD227" s="24">
        <f t="shared" si="328"/>
        <v>0</v>
      </c>
      <c r="AE227" s="24">
        <f t="shared" si="329"/>
        <v>0</v>
      </c>
      <c r="AF227" s="24">
        <f t="shared" si="330"/>
        <v>0</v>
      </c>
      <c r="AG227" s="24">
        <f t="shared" si="331"/>
        <v>0</v>
      </c>
      <c r="AH227" s="24">
        <f t="shared" si="332"/>
        <v>0</v>
      </c>
      <c r="AI227" s="10" t="s">
        <v>43</v>
      </c>
      <c r="AJ227" s="24">
        <f t="shared" si="333"/>
        <v>0</v>
      </c>
      <c r="AK227" s="24">
        <f t="shared" si="334"/>
        <v>0</v>
      </c>
      <c r="AL227" s="24">
        <f t="shared" si="335"/>
        <v>0</v>
      </c>
      <c r="AN227" s="24">
        <v>21</v>
      </c>
      <c r="AO227" s="24">
        <f t="shared" si="336"/>
        <v>0</v>
      </c>
      <c r="AP227" s="24">
        <f t="shared" si="337"/>
        <v>0</v>
      </c>
      <c r="AQ227" s="26" t="s">
        <v>46</v>
      </c>
      <c r="AV227" s="24">
        <f t="shared" si="338"/>
        <v>0</v>
      </c>
      <c r="AW227" s="24">
        <f t="shared" si="339"/>
        <v>0</v>
      </c>
      <c r="AX227" s="24">
        <f t="shared" si="340"/>
        <v>0</v>
      </c>
      <c r="AY227" s="26" t="s">
        <v>650</v>
      </c>
      <c r="AZ227" s="26" t="s">
        <v>651</v>
      </c>
      <c r="BA227" s="10" t="s">
        <v>52</v>
      </c>
      <c r="BC227" s="24">
        <f t="shared" si="341"/>
        <v>0</v>
      </c>
      <c r="BD227" s="24">
        <f t="shared" si="342"/>
        <v>0</v>
      </c>
      <c r="BE227" s="24">
        <v>0</v>
      </c>
      <c r="BF227" s="24">
        <f>224</f>
        <v>224</v>
      </c>
      <c r="BH227" s="24">
        <f t="shared" si="343"/>
        <v>0</v>
      </c>
      <c r="BI227" s="24">
        <f t="shared" si="344"/>
        <v>0</v>
      </c>
      <c r="BJ227" s="24">
        <f t="shared" si="345"/>
        <v>0</v>
      </c>
      <c r="BK227" s="26" t="s">
        <v>53</v>
      </c>
      <c r="BL227" s="24"/>
      <c r="BW227" s="24">
        <v>21</v>
      </c>
      <c r="BX227" s="4" t="s">
        <v>693</v>
      </c>
    </row>
    <row r="228" spans="1:76" ht="14.4" x14ac:dyDescent="0.3">
      <c r="A228" s="2" t="s">
        <v>694</v>
      </c>
      <c r="B228" s="3" t="s">
        <v>695</v>
      </c>
      <c r="C228" s="82" t="s">
        <v>696</v>
      </c>
      <c r="D228" s="81"/>
      <c r="E228" s="3" t="s">
        <v>91</v>
      </c>
      <c r="F228" s="24">
        <v>14</v>
      </c>
      <c r="G228" s="180">
        <v>0</v>
      </c>
      <c r="H228" s="24">
        <f t="shared" si="322"/>
        <v>0</v>
      </c>
      <c r="I228" s="24">
        <f t="shared" si="323"/>
        <v>0</v>
      </c>
      <c r="J228" s="24">
        <f t="shared" si="324"/>
        <v>0</v>
      </c>
      <c r="K228" s="25"/>
      <c r="Z228" s="24">
        <f t="shared" si="325"/>
        <v>0</v>
      </c>
      <c r="AB228" s="24">
        <f t="shared" si="326"/>
        <v>0</v>
      </c>
      <c r="AC228" s="24">
        <f t="shared" si="327"/>
        <v>0</v>
      </c>
      <c r="AD228" s="24">
        <f t="shared" si="328"/>
        <v>0</v>
      </c>
      <c r="AE228" s="24">
        <f t="shared" si="329"/>
        <v>0</v>
      </c>
      <c r="AF228" s="24">
        <f t="shared" si="330"/>
        <v>0</v>
      </c>
      <c r="AG228" s="24">
        <f t="shared" si="331"/>
        <v>0</v>
      </c>
      <c r="AH228" s="24">
        <f t="shared" si="332"/>
        <v>0</v>
      </c>
      <c r="AI228" s="10" t="s">
        <v>43</v>
      </c>
      <c r="AJ228" s="24">
        <f t="shared" si="333"/>
        <v>0</v>
      </c>
      <c r="AK228" s="24">
        <f t="shared" si="334"/>
        <v>0</v>
      </c>
      <c r="AL228" s="24">
        <f t="shared" si="335"/>
        <v>0</v>
      </c>
      <c r="AN228" s="24">
        <v>21</v>
      </c>
      <c r="AO228" s="24">
        <f t="shared" si="336"/>
        <v>0</v>
      </c>
      <c r="AP228" s="24">
        <f t="shared" si="337"/>
        <v>0</v>
      </c>
      <c r="AQ228" s="26" t="s">
        <v>46</v>
      </c>
      <c r="AV228" s="24">
        <f t="shared" si="338"/>
        <v>0</v>
      </c>
      <c r="AW228" s="24">
        <f t="shared" si="339"/>
        <v>0</v>
      </c>
      <c r="AX228" s="24">
        <f t="shared" si="340"/>
        <v>0</v>
      </c>
      <c r="AY228" s="26" t="s">
        <v>650</v>
      </c>
      <c r="AZ228" s="26" t="s">
        <v>651</v>
      </c>
      <c r="BA228" s="10" t="s">
        <v>52</v>
      </c>
      <c r="BC228" s="24">
        <f t="shared" si="341"/>
        <v>0</v>
      </c>
      <c r="BD228" s="24">
        <f t="shared" si="342"/>
        <v>0</v>
      </c>
      <c r="BE228" s="24">
        <v>0</v>
      </c>
      <c r="BF228" s="24">
        <f>225</f>
        <v>225</v>
      </c>
      <c r="BH228" s="24">
        <f t="shared" si="343"/>
        <v>0</v>
      </c>
      <c r="BI228" s="24">
        <f t="shared" si="344"/>
        <v>0</v>
      </c>
      <c r="BJ228" s="24">
        <f t="shared" si="345"/>
        <v>0</v>
      </c>
      <c r="BK228" s="26" t="s">
        <v>53</v>
      </c>
      <c r="BL228" s="24"/>
      <c r="BW228" s="24">
        <v>21</v>
      </c>
      <c r="BX228" s="4" t="s">
        <v>696</v>
      </c>
    </row>
    <row r="229" spans="1:76" ht="14.4" x14ac:dyDescent="0.3">
      <c r="A229" s="2" t="s">
        <v>697</v>
      </c>
      <c r="B229" s="3" t="s">
        <v>698</v>
      </c>
      <c r="C229" s="82" t="s">
        <v>1387</v>
      </c>
      <c r="D229" s="81"/>
      <c r="E229" s="3" t="s">
        <v>76</v>
      </c>
      <c r="F229" s="24">
        <v>1</v>
      </c>
      <c r="G229" s="180">
        <v>0</v>
      </c>
      <c r="H229" s="24">
        <f t="shared" si="322"/>
        <v>0</v>
      </c>
      <c r="I229" s="24">
        <f t="shared" si="323"/>
        <v>0</v>
      </c>
      <c r="J229" s="24">
        <f t="shared" si="324"/>
        <v>0</v>
      </c>
      <c r="K229" s="25"/>
      <c r="Z229" s="24">
        <f t="shared" si="325"/>
        <v>0</v>
      </c>
      <c r="AB229" s="24">
        <f t="shared" si="326"/>
        <v>0</v>
      </c>
      <c r="AC229" s="24">
        <f t="shared" si="327"/>
        <v>0</v>
      </c>
      <c r="AD229" s="24">
        <f t="shared" si="328"/>
        <v>0</v>
      </c>
      <c r="AE229" s="24">
        <f t="shared" si="329"/>
        <v>0</v>
      </c>
      <c r="AF229" s="24">
        <f t="shared" si="330"/>
        <v>0</v>
      </c>
      <c r="AG229" s="24">
        <f t="shared" si="331"/>
        <v>0</v>
      </c>
      <c r="AH229" s="24">
        <f t="shared" si="332"/>
        <v>0</v>
      </c>
      <c r="AI229" s="10" t="s">
        <v>43</v>
      </c>
      <c r="AJ229" s="24">
        <f t="shared" si="333"/>
        <v>0</v>
      </c>
      <c r="AK229" s="24">
        <f t="shared" si="334"/>
        <v>0</v>
      </c>
      <c r="AL229" s="24">
        <f t="shared" si="335"/>
        <v>0</v>
      </c>
      <c r="AN229" s="24">
        <v>21</v>
      </c>
      <c r="AO229" s="24">
        <f>G229*0.769896936</f>
        <v>0</v>
      </c>
      <c r="AP229" s="24">
        <f>G229*(1-0.769896936)</f>
        <v>0</v>
      </c>
      <c r="AQ229" s="26" t="s">
        <v>46</v>
      </c>
      <c r="AV229" s="24">
        <f t="shared" si="338"/>
        <v>0</v>
      </c>
      <c r="AW229" s="24">
        <f t="shared" si="339"/>
        <v>0</v>
      </c>
      <c r="AX229" s="24">
        <f t="shared" si="340"/>
        <v>0</v>
      </c>
      <c r="AY229" s="26" t="s">
        <v>650</v>
      </c>
      <c r="AZ229" s="26" t="s">
        <v>651</v>
      </c>
      <c r="BA229" s="10" t="s">
        <v>52</v>
      </c>
      <c r="BC229" s="24">
        <f t="shared" si="341"/>
        <v>0</v>
      </c>
      <c r="BD229" s="24">
        <f t="shared" si="342"/>
        <v>0</v>
      </c>
      <c r="BE229" s="24">
        <v>0</v>
      </c>
      <c r="BF229" s="24">
        <f>226</f>
        <v>226</v>
      </c>
      <c r="BH229" s="24">
        <f t="shared" si="343"/>
        <v>0</v>
      </c>
      <c r="BI229" s="24">
        <f t="shared" si="344"/>
        <v>0</v>
      </c>
      <c r="BJ229" s="24">
        <f t="shared" si="345"/>
        <v>0</v>
      </c>
      <c r="BK229" s="26" t="s">
        <v>53</v>
      </c>
      <c r="BL229" s="24"/>
      <c r="BW229" s="24">
        <v>21</v>
      </c>
      <c r="BX229" s="4" t="s">
        <v>699</v>
      </c>
    </row>
    <row r="230" spans="1:76" ht="14.4" x14ac:dyDescent="0.3">
      <c r="A230" s="2" t="s">
        <v>700</v>
      </c>
      <c r="B230" s="3" t="s">
        <v>701</v>
      </c>
      <c r="C230" s="82" t="s">
        <v>702</v>
      </c>
      <c r="D230" s="81"/>
      <c r="E230" s="3" t="s">
        <v>261</v>
      </c>
      <c r="F230" s="24">
        <v>9.4670000000000004E-2</v>
      </c>
      <c r="G230" s="180">
        <v>0</v>
      </c>
      <c r="H230" s="24">
        <f t="shared" si="322"/>
        <v>0</v>
      </c>
      <c r="I230" s="24">
        <f t="shared" si="323"/>
        <v>0</v>
      </c>
      <c r="J230" s="24">
        <f t="shared" si="324"/>
        <v>0</v>
      </c>
      <c r="K230" s="25"/>
      <c r="Z230" s="24">
        <f t="shared" si="325"/>
        <v>0</v>
      </c>
      <c r="AB230" s="24">
        <f t="shared" si="326"/>
        <v>0</v>
      </c>
      <c r="AC230" s="24">
        <f t="shared" si="327"/>
        <v>0</v>
      </c>
      <c r="AD230" s="24">
        <f t="shared" si="328"/>
        <v>0</v>
      </c>
      <c r="AE230" s="24">
        <f t="shared" si="329"/>
        <v>0</v>
      </c>
      <c r="AF230" s="24">
        <f t="shared" si="330"/>
        <v>0</v>
      </c>
      <c r="AG230" s="24">
        <f t="shared" si="331"/>
        <v>0</v>
      </c>
      <c r="AH230" s="24">
        <f t="shared" si="332"/>
        <v>0</v>
      </c>
      <c r="AI230" s="10" t="s">
        <v>43</v>
      </c>
      <c r="AJ230" s="24">
        <f t="shared" si="333"/>
        <v>0</v>
      </c>
      <c r="AK230" s="24">
        <f t="shared" si="334"/>
        <v>0</v>
      </c>
      <c r="AL230" s="24">
        <f t="shared" si="335"/>
        <v>0</v>
      </c>
      <c r="AN230" s="24">
        <v>21</v>
      </c>
      <c r="AO230" s="24">
        <f>G230*0</f>
        <v>0</v>
      </c>
      <c r="AP230" s="24">
        <f>G230*(1-0)</f>
        <v>0</v>
      </c>
      <c r="AQ230" s="26" t="s">
        <v>64</v>
      </c>
      <c r="AV230" s="24">
        <f t="shared" si="338"/>
        <v>0</v>
      </c>
      <c r="AW230" s="24">
        <f t="shared" si="339"/>
        <v>0</v>
      </c>
      <c r="AX230" s="24">
        <f t="shared" si="340"/>
        <v>0</v>
      </c>
      <c r="AY230" s="26" t="s">
        <v>650</v>
      </c>
      <c r="AZ230" s="26" t="s">
        <v>651</v>
      </c>
      <c r="BA230" s="10" t="s">
        <v>52</v>
      </c>
      <c r="BC230" s="24">
        <f t="shared" si="341"/>
        <v>0</v>
      </c>
      <c r="BD230" s="24">
        <f t="shared" si="342"/>
        <v>0</v>
      </c>
      <c r="BE230" s="24">
        <v>0</v>
      </c>
      <c r="BF230" s="24">
        <f>227</f>
        <v>227</v>
      </c>
      <c r="BH230" s="24">
        <f t="shared" si="343"/>
        <v>0</v>
      </c>
      <c r="BI230" s="24">
        <f t="shared" si="344"/>
        <v>0</v>
      </c>
      <c r="BJ230" s="24">
        <f t="shared" si="345"/>
        <v>0</v>
      </c>
      <c r="BK230" s="26" t="s">
        <v>53</v>
      </c>
      <c r="BL230" s="24"/>
      <c r="BW230" s="24">
        <v>21</v>
      </c>
      <c r="BX230" s="4" t="s">
        <v>702</v>
      </c>
    </row>
    <row r="231" spans="1:76" ht="14.4" x14ac:dyDescent="0.3">
      <c r="A231" s="27" t="s">
        <v>43</v>
      </c>
      <c r="B231" s="28" t="s">
        <v>703</v>
      </c>
      <c r="C231" s="98" t="s">
        <v>704</v>
      </c>
      <c r="D231" s="99"/>
      <c r="E231" s="29" t="s">
        <v>3</v>
      </c>
      <c r="F231" s="29" t="s">
        <v>3</v>
      </c>
      <c r="G231" s="29" t="s">
        <v>3</v>
      </c>
      <c r="H231" s="1">
        <f>ROUND(SUM(H232:H244),2)</f>
        <v>0</v>
      </c>
      <c r="I231" s="1">
        <f>ROUND(SUM(I232:I244),2)</f>
        <v>0</v>
      </c>
      <c r="J231" s="1">
        <f>ROUND(SUM(J232:J244),2)</f>
        <v>0</v>
      </c>
      <c r="K231" s="30"/>
      <c r="AI231" s="10" t="s">
        <v>43</v>
      </c>
      <c r="AS231" s="1">
        <f>SUM(AJ232:AJ244)</f>
        <v>0</v>
      </c>
      <c r="AT231" s="1">
        <f>SUM(AK232:AK244)</f>
        <v>0</v>
      </c>
      <c r="AU231" s="1">
        <f>SUM(AL232:AL244)</f>
        <v>0</v>
      </c>
    </row>
    <row r="232" spans="1:76" ht="26.4" x14ac:dyDescent="0.3">
      <c r="A232" s="2" t="s">
        <v>705</v>
      </c>
      <c r="B232" s="3" t="s">
        <v>706</v>
      </c>
      <c r="C232" s="82" t="s">
        <v>707</v>
      </c>
      <c r="D232" s="81"/>
      <c r="E232" s="3" t="s">
        <v>91</v>
      </c>
      <c r="F232" s="24">
        <v>1.8</v>
      </c>
      <c r="G232" s="180">
        <v>0</v>
      </c>
      <c r="H232" s="24">
        <f t="shared" ref="H232:H244" si="346">ROUND(F232*AO232,2)</f>
        <v>0</v>
      </c>
      <c r="I232" s="24">
        <f t="shared" ref="I232:I244" si="347">ROUND(F232*AP232,2)</f>
        <v>0</v>
      </c>
      <c r="J232" s="24">
        <f t="shared" ref="J232:J244" si="348">ROUND(F232*G232,2)</f>
        <v>0</v>
      </c>
      <c r="K232" s="25"/>
      <c r="Z232" s="24">
        <f t="shared" ref="Z232:Z244" si="349">ROUND(IF(AQ232="5",BJ232,0),2)</f>
        <v>0</v>
      </c>
      <c r="AB232" s="24">
        <f t="shared" ref="AB232:AB244" si="350">ROUND(IF(AQ232="1",BH232,0),2)</f>
        <v>0</v>
      </c>
      <c r="AC232" s="24">
        <f t="shared" ref="AC232:AC244" si="351">ROUND(IF(AQ232="1",BI232,0),2)</f>
        <v>0</v>
      </c>
      <c r="AD232" s="24">
        <f t="shared" ref="AD232:AD244" si="352">ROUND(IF(AQ232="7",BH232,0),2)</f>
        <v>0</v>
      </c>
      <c r="AE232" s="24">
        <f t="shared" ref="AE232:AE244" si="353">ROUND(IF(AQ232="7",BI232,0),2)</f>
        <v>0</v>
      </c>
      <c r="AF232" s="24">
        <f t="shared" ref="AF232:AF244" si="354">ROUND(IF(AQ232="2",BH232,0),2)</f>
        <v>0</v>
      </c>
      <c r="AG232" s="24">
        <f t="shared" ref="AG232:AG244" si="355">ROUND(IF(AQ232="2",BI232,0),2)</f>
        <v>0</v>
      </c>
      <c r="AH232" s="24">
        <f t="shared" ref="AH232:AH244" si="356">ROUND(IF(AQ232="0",BJ232,0),2)</f>
        <v>0</v>
      </c>
      <c r="AI232" s="10" t="s">
        <v>43</v>
      </c>
      <c r="AJ232" s="24">
        <f t="shared" ref="AJ232:AJ244" si="357">IF(AN232=0,J232,0)</f>
        <v>0</v>
      </c>
      <c r="AK232" s="24">
        <f t="shared" ref="AK232:AK244" si="358">IF(AN232=12,J232,0)</f>
        <v>0</v>
      </c>
      <c r="AL232" s="24">
        <f t="shared" ref="AL232:AL244" si="359">IF(AN232=21,J232,0)</f>
        <v>0</v>
      </c>
      <c r="AN232" s="24">
        <v>21</v>
      </c>
      <c r="AO232" s="24">
        <f t="shared" ref="AO232:AO244" si="360">G232*0</f>
        <v>0</v>
      </c>
      <c r="AP232" s="24">
        <f t="shared" ref="AP232:AP244" si="361">G232*(1-0)</f>
        <v>0</v>
      </c>
      <c r="AQ232" s="26" t="s">
        <v>46</v>
      </c>
      <c r="AV232" s="24">
        <f t="shared" ref="AV232:AV244" si="362">ROUND(AW232+AX232,2)</f>
        <v>0</v>
      </c>
      <c r="AW232" s="24">
        <f t="shared" ref="AW232:AW244" si="363">ROUND(F232*AO232,2)</f>
        <v>0</v>
      </c>
      <c r="AX232" s="24">
        <f t="shared" ref="AX232:AX244" si="364">ROUND(F232*AP232,2)</f>
        <v>0</v>
      </c>
      <c r="AY232" s="26" t="s">
        <v>708</v>
      </c>
      <c r="AZ232" s="26" t="s">
        <v>651</v>
      </c>
      <c r="BA232" s="10" t="s">
        <v>52</v>
      </c>
      <c r="BC232" s="24">
        <f t="shared" ref="BC232:BC244" si="365">AW232+AX232</f>
        <v>0</v>
      </c>
      <c r="BD232" s="24">
        <f t="shared" ref="BD232:BD244" si="366">G232/(100-BE232)*100</f>
        <v>0</v>
      </c>
      <c r="BE232" s="24">
        <v>0</v>
      </c>
      <c r="BF232" s="24">
        <f>229</f>
        <v>229</v>
      </c>
      <c r="BH232" s="24">
        <f t="shared" ref="BH232:BH244" si="367">F232*AO232</f>
        <v>0</v>
      </c>
      <c r="BI232" s="24">
        <f t="shared" ref="BI232:BI244" si="368">F232*AP232</f>
        <v>0</v>
      </c>
      <c r="BJ232" s="24">
        <f t="shared" ref="BJ232:BJ244" si="369">F232*G232</f>
        <v>0</v>
      </c>
      <c r="BK232" s="26" t="s">
        <v>53</v>
      </c>
      <c r="BL232" s="24"/>
      <c r="BW232" s="24">
        <v>21</v>
      </c>
      <c r="BX232" s="4" t="s">
        <v>707</v>
      </c>
    </row>
    <row r="233" spans="1:76" ht="26.4" x14ac:dyDescent="0.3">
      <c r="A233" s="2" t="s">
        <v>709</v>
      </c>
      <c r="B233" s="3" t="s">
        <v>710</v>
      </c>
      <c r="C233" s="82" t="s">
        <v>711</v>
      </c>
      <c r="D233" s="81"/>
      <c r="E233" s="3" t="s">
        <v>91</v>
      </c>
      <c r="F233" s="24">
        <v>6.5</v>
      </c>
      <c r="G233" s="180">
        <v>0</v>
      </c>
      <c r="H233" s="24">
        <f t="shared" si="346"/>
        <v>0</v>
      </c>
      <c r="I233" s="24">
        <f t="shared" si="347"/>
        <v>0</v>
      </c>
      <c r="J233" s="24">
        <f t="shared" si="348"/>
        <v>0</v>
      </c>
      <c r="K233" s="25"/>
      <c r="Z233" s="24">
        <f t="shared" si="349"/>
        <v>0</v>
      </c>
      <c r="AB233" s="24">
        <f t="shared" si="350"/>
        <v>0</v>
      </c>
      <c r="AC233" s="24">
        <f t="shared" si="351"/>
        <v>0</v>
      </c>
      <c r="AD233" s="24">
        <f t="shared" si="352"/>
        <v>0</v>
      </c>
      <c r="AE233" s="24">
        <f t="shared" si="353"/>
        <v>0</v>
      </c>
      <c r="AF233" s="24">
        <f t="shared" si="354"/>
        <v>0</v>
      </c>
      <c r="AG233" s="24">
        <f t="shared" si="355"/>
        <v>0</v>
      </c>
      <c r="AH233" s="24">
        <f t="shared" si="356"/>
        <v>0</v>
      </c>
      <c r="AI233" s="10" t="s">
        <v>43</v>
      </c>
      <c r="AJ233" s="24">
        <f t="shared" si="357"/>
        <v>0</v>
      </c>
      <c r="AK233" s="24">
        <f t="shared" si="358"/>
        <v>0</v>
      </c>
      <c r="AL233" s="24">
        <f t="shared" si="359"/>
        <v>0</v>
      </c>
      <c r="AN233" s="24">
        <v>21</v>
      </c>
      <c r="AO233" s="24">
        <f t="shared" si="360"/>
        <v>0</v>
      </c>
      <c r="AP233" s="24">
        <f t="shared" si="361"/>
        <v>0</v>
      </c>
      <c r="AQ233" s="26" t="s">
        <v>46</v>
      </c>
      <c r="AV233" s="24">
        <f t="shared" si="362"/>
        <v>0</v>
      </c>
      <c r="AW233" s="24">
        <f t="shared" si="363"/>
        <v>0</v>
      </c>
      <c r="AX233" s="24">
        <f t="shared" si="364"/>
        <v>0</v>
      </c>
      <c r="AY233" s="26" t="s">
        <v>708</v>
      </c>
      <c r="AZ233" s="26" t="s">
        <v>651</v>
      </c>
      <c r="BA233" s="10" t="s">
        <v>52</v>
      </c>
      <c r="BC233" s="24">
        <f t="shared" si="365"/>
        <v>0</v>
      </c>
      <c r="BD233" s="24">
        <f t="shared" si="366"/>
        <v>0</v>
      </c>
      <c r="BE233" s="24">
        <v>0</v>
      </c>
      <c r="BF233" s="24">
        <f>230</f>
        <v>230</v>
      </c>
      <c r="BH233" s="24">
        <f t="shared" si="367"/>
        <v>0</v>
      </c>
      <c r="BI233" s="24">
        <f t="shared" si="368"/>
        <v>0</v>
      </c>
      <c r="BJ233" s="24">
        <f t="shared" si="369"/>
        <v>0</v>
      </c>
      <c r="BK233" s="26" t="s">
        <v>53</v>
      </c>
      <c r="BL233" s="24"/>
      <c r="BW233" s="24">
        <v>21</v>
      </c>
      <c r="BX233" s="4" t="s">
        <v>711</v>
      </c>
    </row>
    <row r="234" spans="1:76" ht="26.4" x14ac:dyDescent="0.3">
      <c r="A234" s="2" t="s">
        <v>712</v>
      </c>
      <c r="B234" s="3" t="s">
        <v>713</v>
      </c>
      <c r="C234" s="82" t="s">
        <v>714</v>
      </c>
      <c r="D234" s="81"/>
      <c r="E234" s="3" t="s">
        <v>91</v>
      </c>
      <c r="F234" s="24">
        <v>1.8</v>
      </c>
      <c r="G234" s="180">
        <v>0</v>
      </c>
      <c r="H234" s="24">
        <f t="shared" si="346"/>
        <v>0</v>
      </c>
      <c r="I234" s="24">
        <f t="shared" si="347"/>
        <v>0</v>
      </c>
      <c r="J234" s="24">
        <f t="shared" si="348"/>
        <v>0</v>
      </c>
      <c r="K234" s="25"/>
      <c r="Z234" s="24">
        <f t="shared" si="349"/>
        <v>0</v>
      </c>
      <c r="AB234" s="24">
        <f t="shared" si="350"/>
        <v>0</v>
      </c>
      <c r="AC234" s="24">
        <f t="shared" si="351"/>
        <v>0</v>
      </c>
      <c r="AD234" s="24">
        <f t="shared" si="352"/>
        <v>0</v>
      </c>
      <c r="AE234" s="24">
        <f t="shared" si="353"/>
        <v>0</v>
      </c>
      <c r="AF234" s="24">
        <f t="shared" si="354"/>
        <v>0</v>
      </c>
      <c r="AG234" s="24">
        <f t="shared" si="355"/>
        <v>0</v>
      </c>
      <c r="AH234" s="24">
        <f t="shared" si="356"/>
        <v>0</v>
      </c>
      <c r="AI234" s="10" t="s">
        <v>43</v>
      </c>
      <c r="AJ234" s="24">
        <f t="shared" si="357"/>
        <v>0</v>
      </c>
      <c r="AK234" s="24">
        <f t="shared" si="358"/>
        <v>0</v>
      </c>
      <c r="AL234" s="24">
        <f t="shared" si="359"/>
        <v>0</v>
      </c>
      <c r="AN234" s="24">
        <v>21</v>
      </c>
      <c r="AO234" s="24">
        <f t="shared" si="360"/>
        <v>0</v>
      </c>
      <c r="AP234" s="24">
        <f t="shared" si="361"/>
        <v>0</v>
      </c>
      <c r="AQ234" s="26" t="s">
        <v>46</v>
      </c>
      <c r="AV234" s="24">
        <f t="shared" si="362"/>
        <v>0</v>
      </c>
      <c r="AW234" s="24">
        <f t="shared" si="363"/>
        <v>0</v>
      </c>
      <c r="AX234" s="24">
        <f t="shared" si="364"/>
        <v>0</v>
      </c>
      <c r="AY234" s="26" t="s">
        <v>708</v>
      </c>
      <c r="AZ234" s="26" t="s">
        <v>651</v>
      </c>
      <c r="BA234" s="10" t="s">
        <v>52</v>
      </c>
      <c r="BC234" s="24">
        <f t="shared" si="365"/>
        <v>0</v>
      </c>
      <c r="BD234" s="24">
        <f t="shared" si="366"/>
        <v>0</v>
      </c>
      <c r="BE234" s="24">
        <v>0</v>
      </c>
      <c r="BF234" s="24">
        <f>231</f>
        <v>231</v>
      </c>
      <c r="BH234" s="24">
        <f t="shared" si="367"/>
        <v>0</v>
      </c>
      <c r="BI234" s="24">
        <f t="shared" si="368"/>
        <v>0</v>
      </c>
      <c r="BJ234" s="24">
        <f t="shared" si="369"/>
        <v>0</v>
      </c>
      <c r="BK234" s="26" t="s">
        <v>53</v>
      </c>
      <c r="BL234" s="24"/>
      <c r="BW234" s="24">
        <v>21</v>
      </c>
      <c r="BX234" s="4" t="s">
        <v>714</v>
      </c>
    </row>
    <row r="235" spans="1:76" ht="26.4" x14ac:dyDescent="0.3">
      <c r="A235" s="2" t="s">
        <v>715</v>
      </c>
      <c r="B235" s="3" t="s">
        <v>716</v>
      </c>
      <c r="C235" s="82" t="s">
        <v>717</v>
      </c>
      <c r="D235" s="81"/>
      <c r="E235" s="3" t="s">
        <v>91</v>
      </c>
      <c r="F235" s="24">
        <v>6.5</v>
      </c>
      <c r="G235" s="180">
        <v>0</v>
      </c>
      <c r="H235" s="24">
        <f t="shared" si="346"/>
        <v>0</v>
      </c>
      <c r="I235" s="24">
        <f t="shared" si="347"/>
        <v>0</v>
      </c>
      <c r="J235" s="24">
        <f t="shared" si="348"/>
        <v>0</v>
      </c>
      <c r="K235" s="25"/>
      <c r="Z235" s="24">
        <f t="shared" si="349"/>
        <v>0</v>
      </c>
      <c r="AB235" s="24">
        <f t="shared" si="350"/>
        <v>0</v>
      </c>
      <c r="AC235" s="24">
        <f t="shared" si="351"/>
        <v>0</v>
      </c>
      <c r="AD235" s="24">
        <f t="shared" si="352"/>
        <v>0</v>
      </c>
      <c r="AE235" s="24">
        <f t="shared" si="353"/>
        <v>0</v>
      </c>
      <c r="AF235" s="24">
        <f t="shared" si="354"/>
        <v>0</v>
      </c>
      <c r="AG235" s="24">
        <f t="shared" si="355"/>
        <v>0</v>
      </c>
      <c r="AH235" s="24">
        <f t="shared" si="356"/>
        <v>0</v>
      </c>
      <c r="AI235" s="10" t="s">
        <v>43</v>
      </c>
      <c r="AJ235" s="24">
        <f t="shared" si="357"/>
        <v>0</v>
      </c>
      <c r="AK235" s="24">
        <f t="shared" si="358"/>
        <v>0</v>
      </c>
      <c r="AL235" s="24">
        <f t="shared" si="359"/>
        <v>0</v>
      </c>
      <c r="AN235" s="24">
        <v>21</v>
      </c>
      <c r="AO235" s="24">
        <f t="shared" si="360"/>
        <v>0</v>
      </c>
      <c r="AP235" s="24">
        <f t="shared" si="361"/>
        <v>0</v>
      </c>
      <c r="AQ235" s="26" t="s">
        <v>46</v>
      </c>
      <c r="AV235" s="24">
        <f t="shared" si="362"/>
        <v>0</v>
      </c>
      <c r="AW235" s="24">
        <f t="shared" si="363"/>
        <v>0</v>
      </c>
      <c r="AX235" s="24">
        <f t="shared" si="364"/>
        <v>0</v>
      </c>
      <c r="AY235" s="26" t="s">
        <v>708</v>
      </c>
      <c r="AZ235" s="26" t="s">
        <v>651</v>
      </c>
      <c r="BA235" s="10" t="s">
        <v>52</v>
      </c>
      <c r="BC235" s="24">
        <f t="shared" si="365"/>
        <v>0</v>
      </c>
      <c r="BD235" s="24">
        <f t="shared" si="366"/>
        <v>0</v>
      </c>
      <c r="BE235" s="24">
        <v>0</v>
      </c>
      <c r="BF235" s="24">
        <f>232</f>
        <v>232</v>
      </c>
      <c r="BH235" s="24">
        <f t="shared" si="367"/>
        <v>0</v>
      </c>
      <c r="BI235" s="24">
        <f t="shared" si="368"/>
        <v>0</v>
      </c>
      <c r="BJ235" s="24">
        <f t="shared" si="369"/>
        <v>0</v>
      </c>
      <c r="BK235" s="26" t="s">
        <v>53</v>
      </c>
      <c r="BL235" s="24"/>
      <c r="BW235" s="24">
        <v>21</v>
      </c>
      <c r="BX235" s="4" t="s">
        <v>717</v>
      </c>
    </row>
    <row r="236" spans="1:76" ht="14.4" x14ac:dyDescent="0.3">
      <c r="A236" s="2" t="s">
        <v>718</v>
      </c>
      <c r="B236" s="3" t="s">
        <v>719</v>
      </c>
      <c r="C236" s="82" t="s">
        <v>720</v>
      </c>
      <c r="D236" s="81"/>
      <c r="E236" s="3" t="s">
        <v>76</v>
      </c>
      <c r="F236" s="24">
        <v>1</v>
      </c>
      <c r="G236" s="180">
        <v>0</v>
      </c>
      <c r="H236" s="24">
        <f t="shared" si="346"/>
        <v>0</v>
      </c>
      <c r="I236" s="24">
        <f t="shared" si="347"/>
        <v>0</v>
      </c>
      <c r="J236" s="24">
        <f t="shared" si="348"/>
        <v>0</v>
      </c>
      <c r="K236" s="25"/>
      <c r="Z236" s="24">
        <f t="shared" si="349"/>
        <v>0</v>
      </c>
      <c r="AB236" s="24">
        <f t="shared" si="350"/>
        <v>0</v>
      </c>
      <c r="AC236" s="24">
        <f t="shared" si="351"/>
        <v>0</v>
      </c>
      <c r="AD236" s="24">
        <f t="shared" si="352"/>
        <v>0</v>
      </c>
      <c r="AE236" s="24">
        <f t="shared" si="353"/>
        <v>0</v>
      </c>
      <c r="AF236" s="24">
        <f t="shared" si="354"/>
        <v>0</v>
      </c>
      <c r="AG236" s="24">
        <f t="shared" si="355"/>
        <v>0</v>
      </c>
      <c r="AH236" s="24">
        <f t="shared" si="356"/>
        <v>0</v>
      </c>
      <c r="AI236" s="10" t="s">
        <v>43</v>
      </c>
      <c r="AJ236" s="24">
        <f t="shared" si="357"/>
        <v>0</v>
      </c>
      <c r="AK236" s="24">
        <f t="shared" si="358"/>
        <v>0</v>
      </c>
      <c r="AL236" s="24">
        <f t="shared" si="359"/>
        <v>0</v>
      </c>
      <c r="AN236" s="24">
        <v>21</v>
      </c>
      <c r="AO236" s="24">
        <f t="shared" si="360"/>
        <v>0</v>
      </c>
      <c r="AP236" s="24">
        <f t="shared" si="361"/>
        <v>0</v>
      </c>
      <c r="AQ236" s="26" t="s">
        <v>46</v>
      </c>
      <c r="AV236" s="24">
        <f t="shared" si="362"/>
        <v>0</v>
      </c>
      <c r="AW236" s="24">
        <f t="shared" si="363"/>
        <v>0</v>
      </c>
      <c r="AX236" s="24">
        <f t="shared" si="364"/>
        <v>0</v>
      </c>
      <c r="AY236" s="26" t="s">
        <v>708</v>
      </c>
      <c r="AZ236" s="26" t="s">
        <v>651</v>
      </c>
      <c r="BA236" s="10" t="s">
        <v>52</v>
      </c>
      <c r="BC236" s="24">
        <f t="shared" si="365"/>
        <v>0</v>
      </c>
      <c r="BD236" s="24">
        <f t="shared" si="366"/>
        <v>0</v>
      </c>
      <c r="BE236" s="24">
        <v>0</v>
      </c>
      <c r="BF236" s="24">
        <f>233</f>
        <v>233</v>
      </c>
      <c r="BH236" s="24">
        <f t="shared" si="367"/>
        <v>0</v>
      </c>
      <c r="BI236" s="24">
        <f t="shared" si="368"/>
        <v>0</v>
      </c>
      <c r="BJ236" s="24">
        <f t="shared" si="369"/>
        <v>0</v>
      </c>
      <c r="BK236" s="26" t="s">
        <v>53</v>
      </c>
      <c r="BL236" s="24"/>
      <c r="BW236" s="24">
        <v>21</v>
      </c>
      <c r="BX236" s="4" t="s">
        <v>720</v>
      </c>
    </row>
    <row r="237" spans="1:76" ht="26.4" x14ac:dyDescent="0.3">
      <c r="A237" s="2" t="s">
        <v>721</v>
      </c>
      <c r="B237" s="3" t="s">
        <v>722</v>
      </c>
      <c r="C237" s="82" t="s">
        <v>723</v>
      </c>
      <c r="D237" s="81"/>
      <c r="E237" s="3" t="s">
        <v>174</v>
      </c>
      <c r="F237" s="24">
        <v>1</v>
      </c>
      <c r="G237" s="180">
        <v>0</v>
      </c>
      <c r="H237" s="24">
        <f t="shared" si="346"/>
        <v>0</v>
      </c>
      <c r="I237" s="24">
        <f t="shared" si="347"/>
        <v>0</v>
      </c>
      <c r="J237" s="24">
        <f t="shared" si="348"/>
        <v>0</v>
      </c>
      <c r="K237" s="25"/>
      <c r="Z237" s="24">
        <f t="shared" si="349"/>
        <v>0</v>
      </c>
      <c r="AB237" s="24">
        <f t="shared" si="350"/>
        <v>0</v>
      </c>
      <c r="AC237" s="24">
        <f t="shared" si="351"/>
        <v>0</v>
      </c>
      <c r="AD237" s="24">
        <f t="shared" si="352"/>
        <v>0</v>
      </c>
      <c r="AE237" s="24">
        <f t="shared" si="353"/>
        <v>0</v>
      </c>
      <c r="AF237" s="24">
        <f t="shared" si="354"/>
        <v>0</v>
      </c>
      <c r="AG237" s="24">
        <f t="shared" si="355"/>
        <v>0</v>
      </c>
      <c r="AH237" s="24">
        <f t="shared" si="356"/>
        <v>0</v>
      </c>
      <c r="AI237" s="10" t="s">
        <v>43</v>
      </c>
      <c r="AJ237" s="24">
        <f t="shared" si="357"/>
        <v>0</v>
      </c>
      <c r="AK237" s="24">
        <f t="shared" si="358"/>
        <v>0</v>
      </c>
      <c r="AL237" s="24">
        <f t="shared" si="359"/>
        <v>0</v>
      </c>
      <c r="AN237" s="24">
        <v>21</v>
      </c>
      <c r="AO237" s="24">
        <f t="shared" si="360"/>
        <v>0</v>
      </c>
      <c r="AP237" s="24">
        <f t="shared" si="361"/>
        <v>0</v>
      </c>
      <c r="AQ237" s="26" t="s">
        <v>46</v>
      </c>
      <c r="AV237" s="24">
        <f t="shared" si="362"/>
        <v>0</v>
      </c>
      <c r="AW237" s="24">
        <f t="shared" si="363"/>
        <v>0</v>
      </c>
      <c r="AX237" s="24">
        <f t="shared" si="364"/>
        <v>0</v>
      </c>
      <c r="AY237" s="26" t="s">
        <v>708</v>
      </c>
      <c r="AZ237" s="26" t="s">
        <v>651</v>
      </c>
      <c r="BA237" s="10" t="s">
        <v>52</v>
      </c>
      <c r="BC237" s="24">
        <f t="shared" si="365"/>
        <v>0</v>
      </c>
      <c r="BD237" s="24">
        <f t="shared" si="366"/>
        <v>0</v>
      </c>
      <c r="BE237" s="24">
        <v>0</v>
      </c>
      <c r="BF237" s="24">
        <f>234</f>
        <v>234</v>
      </c>
      <c r="BH237" s="24">
        <f t="shared" si="367"/>
        <v>0</v>
      </c>
      <c r="BI237" s="24">
        <f t="shared" si="368"/>
        <v>0</v>
      </c>
      <c r="BJ237" s="24">
        <f t="shared" si="369"/>
        <v>0</v>
      </c>
      <c r="BK237" s="26" t="s">
        <v>53</v>
      </c>
      <c r="BL237" s="24"/>
      <c r="BW237" s="24">
        <v>21</v>
      </c>
      <c r="BX237" s="4" t="s">
        <v>723</v>
      </c>
    </row>
    <row r="238" spans="1:76" ht="14.4" x14ac:dyDescent="0.3">
      <c r="A238" s="2" t="s">
        <v>724</v>
      </c>
      <c r="B238" s="3" t="s">
        <v>725</v>
      </c>
      <c r="C238" s="82" t="s">
        <v>726</v>
      </c>
      <c r="D238" s="81"/>
      <c r="E238" s="3" t="s">
        <v>76</v>
      </c>
      <c r="F238" s="24">
        <v>2</v>
      </c>
      <c r="G238" s="180">
        <v>0</v>
      </c>
      <c r="H238" s="24">
        <f t="shared" si="346"/>
        <v>0</v>
      </c>
      <c r="I238" s="24">
        <f t="shared" si="347"/>
        <v>0</v>
      </c>
      <c r="J238" s="24">
        <f t="shared" si="348"/>
        <v>0</v>
      </c>
      <c r="K238" s="25"/>
      <c r="Z238" s="24">
        <f t="shared" si="349"/>
        <v>0</v>
      </c>
      <c r="AB238" s="24">
        <f t="shared" si="350"/>
        <v>0</v>
      </c>
      <c r="AC238" s="24">
        <f t="shared" si="351"/>
        <v>0</v>
      </c>
      <c r="AD238" s="24">
        <f t="shared" si="352"/>
        <v>0</v>
      </c>
      <c r="AE238" s="24">
        <f t="shared" si="353"/>
        <v>0</v>
      </c>
      <c r="AF238" s="24">
        <f t="shared" si="354"/>
        <v>0</v>
      </c>
      <c r="AG238" s="24">
        <f t="shared" si="355"/>
        <v>0</v>
      </c>
      <c r="AH238" s="24">
        <f t="shared" si="356"/>
        <v>0</v>
      </c>
      <c r="AI238" s="10" t="s">
        <v>43</v>
      </c>
      <c r="AJ238" s="24">
        <f t="shared" si="357"/>
        <v>0</v>
      </c>
      <c r="AK238" s="24">
        <f t="shared" si="358"/>
        <v>0</v>
      </c>
      <c r="AL238" s="24">
        <f t="shared" si="359"/>
        <v>0</v>
      </c>
      <c r="AN238" s="24">
        <v>21</v>
      </c>
      <c r="AO238" s="24">
        <f t="shared" si="360"/>
        <v>0</v>
      </c>
      <c r="AP238" s="24">
        <f t="shared" si="361"/>
        <v>0</v>
      </c>
      <c r="AQ238" s="26" t="s">
        <v>46</v>
      </c>
      <c r="AV238" s="24">
        <f t="shared" si="362"/>
        <v>0</v>
      </c>
      <c r="AW238" s="24">
        <f t="shared" si="363"/>
        <v>0</v>
      </c>
      <c r="AX238" s="24">
        <f t="shared" si="364"/>
        <v>0</v>
      </c>
      <c r="AY238" s="26" t="s">
        <v>708</v>
      </c>
      <c r="AZ238" s="26" t="s">
        <v>651</v>
      </c>
      <c r="BA238" s="10" t="s">
        <v>52</v>
      </c>
      <c r="BC238" s="24">
        <f t="shared" si="365"/>
        <v>0</v>
      </c>
      <c r="BD238" s="24">
        <f t="shared" si="366"/>
        <v>0</v>
      </c>
      <c r="BE238" s="24">
        <v>0</v>
      </c>
      <c r="BF238" s="24">
        <f>235</f>
        <v>235</v>
      </c>
      <c r="BH238" s="24">
        <f t="shared" si="367"/>
        <v>0</v>
      </c>
      <c r="BI238" s="24">
        <f t="shared" si="368"/>
        <v>0</v>
      </c>
      <c r="BJ238" s="24">
        <f t="shared" si="369"/>
        <v>0</v>
      </c>
      <c r="BK238" s="26" t="s">
        <v>53</v>
      </c>
      <c r="BL238" s="24"/>
      <c r="BW238" s="24">
        <v>21</v>
      </c>
      <c r="BX238" s="4" t="s">
        <v>726</v>
      </c>
    </row>
    <row r="239" spans="1:76" ht="14.4" x14ac:dyDescent="0.3">
      <c r="A239" s="2" t="s">
        <v>727</v>
      </c>
      <c r="B239" s="3" t="s">
        <v>728</v>
      </c>
      <c r="C239" s="82" t="s">
        <v>729</v>
      </c>
      <c r="D239" s="81"/>
      <c r="E239" s="3" t="s">
        <v>91</v>
      </c>
      <c r="F239" s="24">
        <v>8.3000000000000007</v>
      </c>
      <c r="G239" s="180">
        <v>0</v>
      </c>
      <c r="H239" s="24">
        <f t="shared" si="346"/>
        <v>0</v>
      </c>
      <c r="I239" s="24">
        <f t="shared" si="347"/>
        <v>0</v>
      </c>
      <c r="J239" s="24">
        <f t="shared" si="348"/>
        <v>0</v>
      </c>
      <c r="K239" s="25"/>
      <c r="Z239" s="24">
        <f t="shared" si="349"/>
        <v>0</v>
      </c>
      <c r="AB239" s="24">
        <f t="shared" si="350"/>
        <v>0</v>
      </c>
      <c r="AC239" s="24">
        <f t="shared" si="351"/>
        <v>0</v>
      </c>
      <c r="AD239" s="24">
        <f t="shared" si="352"/>
        <v>0</v>
      </c>
      <c r="AE239" s="24">
        <f t="shared" si="353"/>
        <v>0</v>
      </c>
      <c r="AF239" s="24">
        <f t="shared" si="354"/>
        <v>0</v>
      </c>
      <c r="AG239" s="24">
        <f t="shared" si="355"/>
        <v>0</v>
      </c>
      <c r="AH239" s="24">
        <f t="shared" si="356"/>
        <v>0</v>
      </c>
      <c r="AI239" s="10" t="s">
        <v>43</v>
      </c>
      <c r="AJ239" s="24">
        <f t="shared" si="357"/>
        <v>0</v>
      </c>
      <c r="AK239" s="24">
        <f t="shared" si="358"/>
        <v>0</v>
      </c>
      <c r="AL239" s="24">
        <f t="shared" si="359"/>
        <v>0</v>
      </c>
      <c r="AN239" s="24">
        <v>21</v>
      </c>
      <c r="AO239" s="24">
        <f t="shared" si="360"/>
        <v>0</v>
      </c>
      <c r="AP239" s="24">
        <f t="shared" si="361"/>
        <v>0</v>
      </c>
      <c r="AQ239" s="26" t="s">
        <v>46</v>
      </c>
      <c r="AV239" s="24">
        <f t="shared" si="362"/>
        <v>0</v>
      </c>
      <c r="AW239" s="24">
        <f t="shared" si="363"/>
        <v>0</v>
      </c>
      <c r="AX239" s="24">
        <f t="shared" si="364"/>
        <v>0</v>
      </c>
      <c r="AY239" s="26" t="s">
        <v>708</v>
      </c>
      <c r="AZ239" s="26" t="s">
        <v>651</v>
      </c>
      <c r="BA239" s="10" t="s">
        <v>52</v>
      </c>
      <c r="BC239" s="24">
        <f t="shared" si="365"/>
        <v>0</v>
      </c>
      <c r="BD239" s="24">
        <f t="shared" si="366"/>
        <v>0</v>
      </c>
      <c r="BE239" s="24">
        <v>0</v>
      </c>
      <c r="BF239" s="24">
        <f>236</f>
        <v>236</v>
      </c>
      <c r="BH239" s="24">
        <f t="shared" si="367"/>
        <v>0</v>
      </c>
      <c r="BI239" s="24">
        <f t="shared" si="368"/>
        <v>0</v>
      </c>
      <c r="BJ239" s="24">
        <f t="shared" si="369"/>
        <v>0</v>
      </c>
      <c r="BK239" s="26" t="s">
        <v>53</v>
      </c>
      <c r="BL239" s="24"/>
      <c r="BW239" s="24">
        <v>21</v>
      </c>
      <c r="BX239" s="4" t="s">
        <v>729</v>
      </c>
    </row>
    <row r="240" spans="1:76" ht="14.4" x14ac:dyDescent="0.3">
      <c r="A240" s="2" t="s">
        <v>730</v>
      </c>
      <c r="B240" s="3" t="s">
        <v>731</v>
      </c>
      <c r="C240" s="82" t="s">
        <v>732</v>
      </c>
      <c r="D240" s="81"/>
      <c r="E240" s="3" t="s">
        <v>91</v>
      </c>
      <c r="F240" s="24">
        <v>8.3000000000000007</v>
      </c>
      <c r="G240" s="180">
        <v>0</v>
      </c>
      <c r="H240" s="24">
        <f t="shared" si="346"/>
        <v>0</v>
      </c>
      <c r="I240" s="24">
        <f t="shared" si="347"/>
        <v>0</v>
      </c>
      <c r="J240" s="24">
        <f t="shared" si="348"/>
        <v>0</v>
      </c>
      <c r="K240" s="25"/>
      <c r="Z240" s="24">
        <f t="shared" si="349"/>
        <v>0</v>
      </c>
      <c r="AB240" s="24">
        <f t="shared" si="350"/>
        <v>0</v>
      </c>
      <c r="AC240" s="24">
        <f t="shared" si="351"/>
        <v>0</v>
      </c>
      <c r="AD240" s="24">
        <f t="shared" si="352"/>
        <v>0</v>
      </c>
      <c r="AE240" s="24">
        <f t="shared" si="353"/>
        <v>0</v>
      </c>
      <c r="AF240" s="24">
        <f t="shared" si="354"/>
        <v>0</v>
      </c>
      <c r="AG240" s="24">
        <f t="shared" si="355"/>
        <v>0</v>
      </c>
      <c r="AH240" s="24">
        <f t="shared" si="356"/>
        <v>0</v>
      </c>
      <c r="AI240" s="10" t="s">
        <v>43</v>
      </c>
      <c r="AJ240" s="24">
        <f t="shared" si="357"/>
        <v>0</v>
      </c>
      <c r="AK240" s="24">
        <f t="shared" si="358"/>
        <v>0</v>
      </c>
      <c r="AL240" s="24">
        <f t="shared" si="359"/>
        <v>0</v>
      </c>
      <c r="AN240" s="24">
        <v>21</v>
      </c>
      <c r="AO240" s="24">
        <f t="shared" si="360"/>
        <v>0</v>
      </c>
      <c r="AP240" s="24">
        <f t="shared" si="361"/>
        <v>0</v>
      </c>
      <c r="AQ240" s="26" t="s">
        <v>46</v>
      </c>
      <c r="AV240" s="24">
        <f t="shared" si="362"/>
        <v>0</v>
      </c>
      <c r="AW240" s="24">
        <f t="shared" si="363"/>
        <v>0</v>
      </c>
      <c r="AX240" s="24">
        <f t="shared" si="364"/>
        <v>0</v>
      </c>
      <c r="AY240" s="26" t="s">
        <v>708</v>
      </c>
      <c r="AZ240" s="26" t="s">
        <v>651</v>
      </c>
      <c r="BA240" s="10" t="s">
        <v>52</v>
      </c>
      <c r="BC240" s="24">
        <f t="shared" si="365"/>
        <v>0</v>
      </c>
      <c r="BD240" s="24">
        <f t="shared" si="366"/>
        <v>0</v>
      </c>
      <c r="BE240" s="24">
        <v>0</v>
      </c>
      <c r="BF240" s="24">
        <f>237</f>
        <v>237</v>
      </c>
      <c r="BH240" s="24">
        <f t="shared" si="367"/>
        <v>0</v>
      </c>
      <c r="BI240" s="24">
        <f t="shared" si="368"/>
        <v>0</v>
      </c>
      <c r="BJ240" s="24">
        <f t="shared" si="369"/>
        <v>0</v>
      </c>
      <c r="BK240" s="26" t="s">
        <v>53</v>
      </c>
      <c r="BL240" s="24"/>
      <c r="BW240" s="24">
        <v>21</v>
      </c>
      <c r="BX240" s="4" t="s">
        <v>732</v>
      </c>
    </row>
    <row r="241" spans="1:76" ht="14.4" x14ac:dyDescent="0.3">
      <c r="A241" s="2" t="s">
        <v>733</v>
      </c>
      <c r="B241" s="3" t="s">
        <v>734</v>
      </c>
      <c r="C241" s="82" t="s">
        <v>1388</v>
      </c>
      <c r="D241" s="81"/>
      <c r="E241" s="3" t="s">
        <v>76</v>
      </c>
      <c r="F241" s="24">
        <v>1</v>
      </c>
      <c r="G241" s="180">
        <v>0</v>
      </c>
      <c r="H241" s="24">
        <f t="shared" si="346"/>
        <v>0</v>
      </c>
      <c r="I241" s="24">
        <f t="shared" si="347"/>
        <v>0</v>
      </c>
      <c r="J241" s="24">
        <f t="shared" si="348"/>
        <v>0</v>
      </c>
      <c r="K241" s="25"/>
      <c r="Z241" s="24">
        <f t="shared" si="349"/>
        <v>0</v>
      </c>
      <c r="AB241" s="24">
        <f t="shared" si="350"/>
        <v>0</v>
      </c>
      <c r="AC241" s="24">
        <f t="shared" si="351"/>
        <v>0</v>
      </c>
      <c r="AD241" s="24">
        <f t="shared" si="352"/>
        <v>0</v>
      </c>
      <c r="AE241" s="24">
        <f t="shared" si="353"/>
        <v>0</v>
      </c>
      <c r="AF241" s="24">
        <f t="shared" si="354"/>
        <v>0</v>
      </c>
      <c r="AG241" s="24">
        <f t="shared" si="355"/>
        <v>0</v>
      </c>
      <c r="AH241" s="24">
        <f t="shared" si="356"/>
        <v>0</v>
      </c>
      <c r="AI241" s="10" t="s">
        <v>43</v>
      </c>
      <c r="AJ241" s="24">
        <f t="shared" si="357"/>
        <v>0</v>
      </c>
      <c r="AK241" s="24">
        <f t="shared" si="358"/>
        <v>0</v>
      </c>
      <c r="AL241" s="24">
        <f t="shared" si="359"/>
        <v>0</v>
      </c>
      <c r="AN241" s="24">
        <v>21</v>
      </c>
      <c r="AO241" s="24">
        <f t="shared" si="360"/>
        <v>0</v>
      </c>
      <c r="AP241" s="24">
        <f t="shared" si="361"/>
        <v>0</v>
      </c>
      <c r="AQ241" s="26" t="s">
        <v>46</v>
      </c>
      <c r="AV241" s="24">
        <f t="shared" si="362"/>
        <v>0</v>
      </c>
      <c r="AW241" s="24">
        <f t="shared" si="363"/>
        <v>0</v>
      </c>
      <c r="AX241" s="24">
        <f t="shared" si="364"/>
        <v>0</v>
      </c>
      <c r="AY241" s="26" t="s">
        <v>708</v>
      </c>
      <c r="AZ241" s="26" t="s">
        <v>651</v>
      </c>
      <c r="BA241" s="10" t="s">
        <v>52</v>
      </c>
      <c r="BC241" s="24">
        <f t="shared" si="365"/>
        <v>0</v>
      </c>
      <c r="BD241" s="24">
        <f t="shared" si="366"/>
        <v>0</v>
      </c>
      <c r="BE241" s="24">
        <v>0</v>
      </c>
      <c r="BF241" s="24">
        <f>238</f>
        <v>238</v>
      </c>
      <c r="BH241" s="24">
        <f t="shared" si="367"/>
        <v>0</v>
      </c>
      <c r="BI241" s="24">
        <f t="shared" si="368"/>
        <v>0</v>
      </c>
      <c r="BJ241" s="24">
        <f t="shared" si="369"/>
        <v>0</v>
      </c>
      <c r="BK241" s="26" t="s">
        <v>53</v>
      </c>
      <c r="BL241" s="24"/>
      <c r="BW241" s="24">
        <v>21</v>
      </c>
      <c r="BX241" s="4" t="s">
        <v>735</v>
      </c>
    </row>
    <row r="242" spans="1:76" ht="14.4" x14ac:dyDescent="0.3">
      <c r="A242" s="2" t="s">
        <v>736</v>
      </c>
      <c r="B242" s="3" t="s">
        <v>737</v>
      </c>
      <c r="C242" s="82" t="s">
        <v>696</v>
      </c>
      <c r="D242" s="81"/>
      <c r="E242" s="3" t="s">
        <v>91</v>
      </c>
      <c r="F242" s="24">
        <v>6.5</v>
      </c>
      <c r="G242" s="180">
        <v>0</v>
      </c>
      <c r="H242" s="24">
        <f t="shared" si="346"/>
        <v>0</v>
      </c>
      <c r="I242" s="24">
        <f t="shared" si="347"/>
        <v>0</v>
      </c>
      <c r="J242" s="24">
        <f t="shared" si="348"/>
        <v>0</v>
      </c>
      <c r="K242" s="25"/>
      <c r="Z242" s="24">
        <f t="shared" si="349"/>
        <v>0</v>
      </c>
      <c r="AB242" s="24">
        <f t="shared" si="350"/>
        <v>0</v>
      </c>
      <c r="AC242" s="24">
        <f t="shared" si="351"/>
        <v>0</v>
      </c>
      <c r="AD242" s="24">
        <f t="shared" si="352"/>
        <v>0</v>
      </c>
      <c r="AE242" s="24">
        <f t="shared" si="353"/>
        <v>0</v>
      </c>
      <c r="AF242" s="24">
        <f t="shared" si="354"/>
        <v>0</v>
      </c>
      <c r="AG242" s="24">
        <f t="shared" si="355"/>
        <v>0</v>
      </c>
      <c r="AH242" s="24">
        <f t="shared" si="356"/>
        <v>0</v>
      </c>
      <c r="AI242" s="10" t="s">
        <v>43</v>
      </c>
      <c r="AJ242" s="24">
        <f t="shared" si="357"/>
        <v>0</v>
      </c>
      <c r="AK242" s="24">
        <f t="shared" si="358"/>
        <v>0</v>
      </c>
      <c r="AL242" s="24">
        <f t="shared" si="359"/>
        <v>0</v>
      </c>
      <c r="AN242" s="24">
        <v>21</v>
      </c>
      <c r="AO242" s="24">
        <f t="shared" si="360"/>
        <v>0</v>
      </c>
      <c r="AP242" s="24">
        <f t="shared" si="361"/>
        <v>0</v>
      </c>
      <c r="AQ242" s="26" t="s">
        <v>46</v>
      </c>
      <c r="AV242" s="24">
        <f t="shared" si="362"/>
        <v>0</v>
      </c>
      <c r="AW242" s="24">
        <f t="shared" si="363"/>
        <v>0</v>
      </c>
      <c r="AX242" s="24">
        <f t="shared" si="364"/>
        <v>0</v>
      </c>
      <c r="AY242" s="26" t="s">
        <v>708</v>
      </c>
      <c r="AZ242" s="26" t="s">
        <v>651</v>
      </c>
      <c r="BA242" s="10" t="s">
        <v>52</v>
      </c>
      <c r="BC242" s="24">
        <f t="shared" si="365"/>
        <v>0</v>
      </c>
      <c r="BD242" s="24">
        <f t="shared" si="366"/>
        <v>0</v>
      </c>
      <c r="BE242" s="24">
        <v>0</v>
      </c>
      <c r="BF242" s="24">
        <f>239</f>
        <v>239</v>
      </c>
      <c r="BH242" s="24">
        <f t="shared" si="367"/>
        <v>0</v>
      </c>
      <c r="BI242" s="24">
        <f t="shared" si="368"/>
        <v>0</v>
      </c>
      <c r="BJ242" s="24">
        <f t="shared" si="369"/>
        <v>0</v>
      </c>
      <c r="BK242" s="26" t="s">
        <v>53</v>
      </c>
      <c r="BL242" s="24"/>
      <c r="BW242" s="24">
        <v>21</v>
      </c>
      <c r="BX242" s="4" t="s">
        <v>696</v>
      </c>
    </row>
    <row r="243" spans="1:76" ht="14.4" x14ac:dyDescent="0.3">
      <c r="A243" s="2" t="s">
        <v>738</v>
      </c>
      <c r="B243" s="3" t="s">
        <v>739</v>
      </c>
      <c r="C243" s="82" t="s">
        <v>740</v>
      </c>
      <c r="D243" s="81"/>
      <c r="E243" s="3" t="s">
        <v>76</v>
      </c>
      <c r="F243" s="24">
        <v>1</v>
      </c>
      <c r="G243" s="180">
        <v>0</v>
      </c>
      <c r="H243" s="24">
        <f t="shared" si="346"/>
        <v>0</v>
      </c>
      <c r="I243" s="24">
        <f t="shared" si="347"/>
        <v>0</v>
      </c>
      <c r="J243" s="24">
        <f t="shared" si="348"/>
        <v>0</v>
      </c>
      <c r="K243" s="25"/>
      <c r="Z243" s="24">
        <f t="shared" si="349"/>
        <v>0</v>
      </c>
      <c r="AB243" s="24">
        <f t="shared" si="350"/>
        <v>0</v>
      </c>
      <c r="AC243" s="24">
        <f t="shared" si="351"/>
        <v>0</v>
      </c>
      <c r="AD243" s="24">
        <f t="shared" si="352"/>
        <v>0</v>
      </c>
      <c r="AE243" s="24">
        <f t="shared" si="353"/>
        <v>0</v>
      </c>
      <c r="AF243" s="24">
        <f t="shared" si="354"/>
        <v>0</v>
      </c>
      <c r="AG243" s="24">
        <f t="shared" si="355"/>
        <v>0</v>
      </c>
      <c r="AH243" s="24">
        <f t="shared" si="356"/>
        <v>0</v>
      </c>
      <c r="AI243" s="10" t="s">
        <v>43</v>
      </c>
      <c r="AJ243" s="24">
        <f t="shared" si="357"/>
        <v>0</v>
      </c>
      <c r="AK243" s="24">
        <f t="shared" si="358"/>
        <v>0</v>
      </c>
      <c r="AL243" s="24">
        <f t="shared" si="359"/>
        <v>0</v>
      </c>
      <c r="AN243" s="24">
        <v>21</v>
      </c>
      <c r="AO243" s="24">
        <f t="shared" si="360"/>
        <v>0</v>
      </c>
      <c r="AP243" s="24">
        <f t="shared" si="361"/>
        <v>0</v>
      </c>
      <c r="AQ243" s="26" t="s">
        <v>46</v>
      </c>
      <c r="AV243" s="24">
        <f t="shared" si="362"/>
        <v>0</v>
      </c>
      <c r="AW243" s="24">
        <f t="shared" si="363"/>
        <v>0</v>
      </c>
      <c r="AX243" s="24">
        <f t="shared" si="364"/>
        <v>0</v>
      </c>
      <c r="AY243" s="26" t="s">
        <v>708</v>
      </c>
      <c r="AZ243" s="26" t="s">
        <v>651</v>
      </c>
      <c r="BA243" s="10" t="s">
        <v>52</v>
      </c>
      <c r="BC243" s="24">
        <f t="shared" si="365"/>
        <v>0</v>
      </c>
      <c r="BD243" s="24">
        <f t="shared" si="366"/>
        <v>0</v>
      </c>
      <c r="BE243" s="24">
        <v>0</v>
      </c>
      <c r="BF243" s="24">
        <f>240</f>
        <v>240</v>
      </c>
      <c r="BH243" s="24">
        <f t="shared" si="367"/>
        <v>0</v>
      </c>
      <c r="BI243" s="24">
        <f t="shared" si="368"/>
        <v>0</v>
      </c>
      <c r="BJ243" s="24">
        <f t="shared" si="369"/>
        <v>0</v>
      </c>
      <c r="BK243" s="26" t="s">
        <v>53</v>
      </c>
      <c r="BL243" s="24"/>
      <c r="BW243" s="24">
        <v>21</v>
      </c>
      <c r="BX243" s="4" t="s">
        <v>740</v>
      </c>
    </row>
    <row r="244" spans="1:76" ht="14.4" x14ac:dyDescent="0.3">
      <c r="A244" s="2" t="s">
        <v>741</v>
      </c>
      <c r="B244" s="3" t="s">
        <v>742</v>
      </c>
      <c r="C244" s="82" t="s">
        <v>743</v>
      </c>
      <c r="D244" s="81"/>
      <c r="E244" s="3" t="s">
        <v>261</v>
      </c>
      <c r="F244" s="24">
        <v>2.257E-2</v>
      </c>
      <c r="G244" s="180">
        <v>0</v>
      </c>
      <c r="H244" s="24">
        <f t="shared" si="346"/>
        <v>0</v>
      </c>
      <c r="I244" s="24">
        <f t="shared" si="347"/>
        <v>0</v>
      </c>
      <c r="J244" s="24">
        <f t="shared" si="348"/>
        <v>0</v>
      </c>
      <c r="K244" s="25"/>
      <c r="Z244" s="24">
        <f t="shared" si="349"/>
        <v>0</v>
      </c>
      <c r="AB244" s="24">
        <f t="shared" si="350"/>
        <v>0</v>
      </c>
      <c r="AC244" s="24">
        <f t="shared" si="351"/>
        <v>0</v>
      </c>
      <c r="AD244" s="24">
        <f t="shared" si="352"/>
        <v>0</v>
      </c>
      <c r="AE244" s="24">
        <f t="shared" si="353"/>
        <v>0</v>
      </c>
      <c r="AF244" s="24">
        <f t="shared" si="354"/>
        <v>0</v>
      </c>
      <c r="AG244" s="24">
        <f t="shared" si="355"/>
        <v>0</v>
      </c>
      <c r="AH244" s="24">
        <f t="shared" si="356"/>
        <v>0</v>
      </c>
      <c r="AI244" s="10" t="s">
        <v>43</v>
      </c>
      <c r="AJ244" s="24">
        <f t="shared" si="357"/>
        <v>0</v>
      </c>
      <c r="AK244" s="24">
        <f t="shared" si="358"/>
        <v>0</v>
      </c>
      <c r="AL244" s="24">
        <f t="shared" si="359"/>
        <v>0</v>
      </c>
      <c r="AN244" s="24">
        <v>21</v>
      </c>
      <c r="AO244" s="24">
        <f t="shared" si="360"/>
        <v>0</v>
      </c>
      <c r="AP244" s="24">
        <f t="shared" si="361"/>
        <v>0</v>
      </c>
      <c r="AQ244" s="26" t="s">
        <v>64</v>
      </c>
      <c r="AV244" s="24">
        <f t="shared" si="362"/>
        <v>0</v>
      </c>
      <c r="AW244" s="24">
        <f t="shared" si="363"/>
        <v>0</v>
      </c>
      <c r="AX244" s="24">
        <f t="shared" si="364"/>
        <v>0</v>
      </c>
      <c r="AY244" s="26" t="s">
        <v>708</v>
      </c>
      <c r="AZ244" s="26" t="s">
        <v>651</v>
      </c>
      <c r="BA244" s="10" t="s">
        <v>52</v>
      </c>
      <c r="BC244" s="24">
        <f t="shared" si="365"/>
        <v>0</v>
      </c>
      <c r="BD244" s="24">
        <f t="shared" si="366"/>
        <v>0</v>
      </c>
      <c r="BE244" s="24">
        <v>0</v>
      </c>
      <c r="BF244" s="24">
        <f>241</f>
        <v>241</v>
      </c>
      <c r="BH244" s="24">
        <f t="shared" si="367"/>
        <v>0</v>
      </c>
      <c r="BI244" s="24">
        <f t="shared" si="368"/>
        <v>0</v>
      </c>
      <c r="BJ244" s="24">
        <f t="shared" si="369"/>
        <v>0</v>
      </c>
      <c r="BK244" s="26" t="s">
        <v>53</v>
      </c>
      <c r="BL244" s="24"/>
      <c r="BW244" s="24">
        <v>21</v>
      </c>
      <c r="BX244" s="4" t="s">
        <v>743</v>
      </c>
    </row>
    <row r="245" spans="1:76" ht="14.4" x14ac:dyDescent="0.3">
      <c r="A245" s="27" t="s">
        <v>43</v>
      </c>
      <c r="B245" s="28" t="s">
        <v>744</v>
      </c>
      <c r="C245" s="98" t="s">
        <v>745</v>
      </c>
      <c r="D245" s="99"/>
      <c r="E245" s="29" t="s">
        <v>3</v>
      </c>
      <c r="F245" s="29" t="s">
        <v>3</v>
      </c>
      <c r="G245" s="29" t="s">
        <v>3</v>
      </c>
      <c r="H245" s="1">
        <f>ROUND(SUM(H246:H248),2)</f>
        <v>0</v>
      </c>
      <c r="I245" s="1">
        <f>ROUND(SUM(I246:I248),2)</f>
        <v>0</v>
      </c>
      <c r="J245" s="1">
        <f>ROUND(SUM(J246:J248),2)</f>
        <v>0</v>
      </c>
      <c r="K245" s="30"/>
      <c r="AI245" s="10" t="s">
        <v>43</v>
      </c>
      <c r="AS245" s="1">
        <f>SUM(AJ246:AJ248)</f>
        <v>0</v>
      </c>
      <c r="AT245" s="1">
        <f>SUM(AK246:AK248)</f>
        <v>0</v>
      </c>
      <c r="AU245" s="1">
        <f>SUM(AL246:AL248)</f>
        <v>0</v>
      </c>
    </row>
    <row r="246" spans="1:76" ht="14.4" x14ac:dyDescent="0.3">
      <c r="A246" s="2" t="s">
        <v>746</v>
      </c>
      <c r="B246" s="3" t="s">
        <v>747</v>
      </c>
      <c r="C246" s="82" t="s">
        <v>748</v>
      </c>
      <c r="D246" s="81"/>
      <c r="E246" s="3" t="s">
        <v>174</v>
      </c>
      <c r="F246" s="24">
        <v>1</v>
      </c>
      <c r="G246" s="180">
        <v>0</v>
      </c>
      <c r="H246" s="24">
        <f>ROUND(F246*AO246,2)</f>
        <v>0</v>
      </c>
      <c r="I246" s="24">
        <f>ROUND(F246*AP246,2)</f>
        <v>0</v>
      </c>
      <c r="J246" s="24">
        <f>ROUND(F246*G246,2)</f>
        <v>0</v>
      </c>
      <c r="K246" s="25"/>
      <c r="Z246" s="24">
        <f>ROUND(IF(AQ246="5",BJ246,0),2)</f>
        <v>0</v>
      </c>
      <c r="AB246" s="24">
        <f>ROUND(IF(AQ246="1",BH246,0),2)</f>
        <v>0</v>
      </c>
      <c r="AC246" s="24">
        <f>ROUND(IF(AQ246="1",BI246,0),2)</f>
        <v>0</v>
      </c>
      <c r="AD246" s="24">
        <f>ROUND(IF(AQ246="7",BH246,0),2)</f>
        <v>0</v>
      </c>
      <c r="AE246" s="24">
        <f>ROUND(IF(AQ246="7",BI246,0),2)</f>
        <v>0</v>
      </c>
      <c r="AF246" s="24">
        <f>ROUND(IF(AQ246="2",BH246,0),2)</f>
        <v>0</v>
      </c>
      <c r="AG246" s="24">
        <f>ROUND(IF(AQ246="2",BI246,0),2)</f>
        <v>0</v>
      </c>
      <c r="AH246" s="24">
        <f>ROUND(IF(AQ246="0",BJ246,0),2)</f>
        <v>0</v>
      </c>
      <c r="AI246" s="10" t="s">
        <v>43</v>
      </c>
      <c r="AJ246" s="24">
        <f>IF(AN246=0,J246,0)</f>
        <v>0</v>
      </c>
      <c r="AK246" s="24">
        <f>IF(AN246=12,J246,0)</f>
        <v>0</v>
      </c>
      <c r="AL246" s="24">
        <f>IF(AN246=21,J246,0)</f>
        <v>0</v>
      </c>
      <c r="AN246" s="24">
        <v>21</v>
      </c>
      <c r="AO246" s="24">
        <f>G246*0</f>
        <v>0</v>
      </c>
      <c r="AP246" s="24">
        <f>G246*(1-0)</f>
        <v>0</v>
      </c>
      <c r="AQ246" s="26" t="s">
        <v>46</v>
      </c>
      <c r="AV246" s="24">
        <f>ROUND(AW246+AX246,2)</f>
        <v>0</v>
      </c>
      <c r="AW246" s="24">
        <f>ROUND(F246*AO246,2)</f>
        <v>0</v>
      </c>
      <c r="AX246" s="24">
        <f>ROUND(F246*AP246,2)</f>
        <v>0</v>
      </c>
      <c r="AY246" s="26" t="s">
        <v>749</v>
      </c>
      <c r="AZ246" s="26" t="s">
        <v>651</v>
      </c>
      <c r="BA246" s="10" t="s">
        <v>52</v>
      </c>
      <c r="BC246" s="24">
        <f>AW246+AX246</f>
        <v>0</v>
      </c>
      <c r="BD246" s="24">
        <f>G246/(100-BE246)*100</f>
        <v>0</v>
      </c>
      <c r="BE246" s="24">
        <v>0</v>
      </c>
      <c r="BF246" s="24">
        <f>243</f>
        <v>243</v>
      </c>
      <c r="BH246" s="24">
        <f>F246*AO246</f>
        <v>0</v>
      </c>
      <c r="BI246" s="24">
        <f>F246*AP246</f>
        <v>0</v>
      </c>
      <c r="BJ246" s="24">
        <f>F246*G246</f>
        <v>0</v>
      </c>
      <c r="BK246" s="26" t="s">
        <v>53</v>
      </c>
      <c r="BL246" s="24"/>
      <c r="BW246" s="24">
        <v>21</v>
      </c>
      <c r="BX246" s="4" t="s">
        <v>748</v>
      </c>
    </row>
    <row r="247" spans="1:76" ht="14.4" x14ac:dyDescent="0.3">
      <c r="A247" s="2" t="s">
        <v>750</v>
      </c>
      <c r="B247" s="3" t="s">
        <v>751</v>
      </c>
      <c r="C247" s="82" t="s">
        <v>1389</v>
      </c>
      <c r="D247" s="81"/>
      <c r="E247" s="3" t="s">
        <v>193</v>
      </c>
      <c r="F247" s="24">
        <v>1</v>
      </c>
      <c r="G247" s="180">
        <v>0</v>
      </c>
      <c r="H247" s="24">
        <f>ROUND(F247*AO247,2)</f>
        <v>0</v>
      </c>
      <c r="I247" s="24">
        <f>ROUND(F247*AP247,2)</f>
        <v>0</v>
      </c>
      <c r="J247" s="24">
        <f>ROUND(F247*G247,2)</f>
        <v>0</v>
      </c>
      <c r="K247" s="25"/>
      <c r="Z247" s="24">
        <f>ROUND(IF(AQ247="5",BJ247,0),2)</f>
        <v>0</v>
      </c>
      <c r="AB247" s="24">
        <f>ROUND(IF(AQ247="1",BH247,0),2)</f>
        <v>0</v>
      </c>
      <c r="AC247" s="24">
        <f>ROUND(IF(AQ247="1",BI247,0),2)</f>
        <v>0</v>
      </c>
      <c r="AD247" s="24">
        <f>ROUND(IF(AQ247="7",BH247,0),2)</f>
        <v>0</v>
      </c>
      <c r="AE247" s="24">
        <f>ROUND(IF(AQ247="7",BI247,0),2)</f>
        <v>0</v>
      </c>
      <c r="AF247" s="24">
        <f>ROUND(IF(AQ247="2",BH247,0),2)</f>
        <v>0</v>
      </c>
      <c r="AG247" s="24">
        <f>ROUND(IF(AQ247="2",BI247,0),2)</f>
        <v>0</v>
      </c>
      <c r="AH247" s="24">
        <f>ROUND(IF(AQ247="0",BJ247,0),2)</f>
        <v>0</v>
      </c>
      <c r="AI247" s="10" t="s">
        <v>43</v>
      </c>
      <c r="AJ247" s="24">
        <f>IF(AN247=0,J247,0)</f>
        <v>0</v>
      </c>
      <c r="AK247" s="24">
        <f>IF(AN247=12,J247,0)</f>
        <v>0</v>
      </c>
      <c r="AL247" s="24">
        <f>IF(AN247=21,J247,0)</f>
        <v>0</v>
      </c>
      <c r="AN247" s="24">
        <v>21</v>
      </c>
      <c r="AO247" s="24">
        <f>G247*0</f>
        <v>0</v>
      </c>
      <c r="AP247" s="24">
        <f>G247*(1-0)</f>
        <v>0</v>
      </c>
      <c r="AQ247" s="26" t="s">
        <v>46</v>
      </c>
      <c r="AV247" s="24">
        <f>ROUND(AW247+AX247,2)</f>
        <v>0</v>
      </c>
      <c r="AW247" s="24">
        <f>ROUND(F247*AO247,2)</f>
        <v>0</v>
      </c>
      <c r="AX247" s="24">
        <f>ROUND(F247*AP247,2)</f>
        <v>0</v>
      </c>
      <c r="AY247" s="26" t="s">
        <v>749</v>
      </c>
      <c r="AZ247" s="26" t="s">
        <v>651</v>
      </c>
      <c r="BA247" s="10" t="s">
        <v>52</v>
      </c>
      <c r="BC247" s="24">
        <f>AW247+AX247</f>
        <v>0</v>
      </c>
      <c r="BD247" s="24">
        <f>G247/(100-BE247)*100</f>
        <v>0</v>
      </c>
      <c r="BE247" s="24">
        <v>0</v>
      </c>
      <c r="BF247" s="24">
        <f>244</f>
        <v>244</v>
      </c>
      <c r="BH247" s="24">
        <f>F247*AO247</f>
        <v>0</v>
      </c>
      <c r="BI247" s="24">
        <f>F247*AP247</f>
        <v>0</v>
      </c>
      <c r="BJ247" s="24">
        <f>F247*G247</f>
        <v>0</v>
      </c>
      <c r="BK247" s="26" t="s">
        <v>53</v>
      </c>
      <c r="BL247" s="24"/>
      <c r="BW247" s="24">
        <v>21</v>
      </c>
      <c r="BX247" s="4" t="s">
        <v>752</v>
      </c>
    </row>
    <row r="248" spans="1:76" ht="14.4" x14ac:dyDescent="0.3">
      <c r="A248" s="2" t="s">
        <v>753</v>
      </c>
      <c r="B248" s="3" t="s">
        <v>754</v>
      </c>
      <c r="C248" s="82" t="s">
        <v>755</v>
      </c>
      <c r="D248" s="81"/>
      <c r="E248" s="3" t="s">
        <v>261</v>
      </c>
      <c r="F248" s="24">
        <v>1.9869999999999999E-2</v>
      </c>
      <c r="G248" s="180">
        <v>0</v>
      </c>
      <c r="H248" s="24">
        <f>ROUND(F248*AO248,2)</f>
        <v>0</v>
      </c>
      <c r="I248" s="24">
        <f>ROUND(F248*AP248,2)</f>
        <v>0</v>
      </c>
      <c r="J248" s="24">
        <f>ROUND(F248*G248,2)</f>
        <v>0</v>
      </c>
      <c r="K248" s="25"/>
      <c r="Z248" s="24">
        <f>ROUND(IF(AQ248="5",BJ248,0),2)</f>
        <v>0</v>
      </c>
      <c r="AB248" s="24">
        <f>ROUND(IF(AQ248="1",BH248,0),2)</f>
        <v>0</v>
      </c>
      <c r="AC248" s="24">
        <f>ROUND(IF(AQ248="1",BI248,0),2)</f>
        <v>0</v>
      </c>
      <c r="AD248" s="24">
        <f>ROUND(IF(AQ248="7",BH248,0),2)</f>
        <v>0</v>
      </c>
      <c r="AE248" s="24">
        <f>ROUND(IF(AQ248="7",BI248,0),2)</f>
        <v>0</v>
      </c>
      <c r="AF248" s="24">
        <f>ROUND(IF(AQ248="2",BH248,0),2)</f>
        <v>0</v>
      </c>
      <c r="AG248" s="24">
        <f>ROUND(IF(AQ248="2",BI248,0),2)</f>
        <v>0</v>
      </c>
      <c r="AH248" s="24">
        <f>ROUND(IF(AQ248="0",BJ248,0),2)</f>
        <v>0</v>
      </c>
      <c r="AI248" s="10" t="s">
        <v>43</v>
      </c>
      <c r="AJ248" s="24">
        <f>IF(AN248=0,J248,0)</f>
        <v>0</v>
      </c>
      <c r="AK248" s="24">
        <f>IF(AN248=12,J248,0)</f>
        <v>0</v>
      </c>
      <c r="AL248" s="24">
        <f>IF(AN248=21,J248,0)</f>
        <v>0</v>
      </c>
      <c r="AN248" s="24">
        <v>21</v>
      </c>
      <c r="AO248" s="24">
        <f>G248*0</f>
        <v>0</v>
      </c>
      <c r="AP248" s="24">
        <f>G248*(1-0)</f>
        <v>0</v>
      </c>
      <c r="AQ248" s="26" t="s">
        <v>64</v>
      </c>
      <c r="AV248" s="24">
        <f>ROUND(AW248+AX248,2)</f>
        <v>0</v>
      </c>
      <c r="AW248" s="24">
        <f>ROUND(F248*AO248,2)</f>
        <v>0</v>
      </c>
      <c r="AX248" s="24">
        <f>ROUND(F248*AP248,2)</f>
        <v>0</v>
      </c>
      <c r="AY248" s="26" t="s">
        <v>749</v>
      </c>
      <c r="AZ248" s="26" t="s">
        <v>651</v>
      </c>
      <c r="BA248" s="10" t="s">
        <v>52</v>
      </c>
      <c r="BC248" s="24">
        <f>AW248+AX248</f>
        <v>0</v>
      </c>
      <c r="BD248" s="24">
        <f>G248/(100-BE248)*100</f>
        <v>0</v>
      </c>
      <c r="BE248" s="24">
        <v>0</v>
      </c>
      <c r="BF248" s="24">
        <f>245</f>
        <v>245</v>
      </c>
      <c r="BH248" s="24">
        <f>F248*AO248</f>
        <v>0</v>
      </c>
      <c r="BI248" s="24">
        <f>F248*AP248</f>
        <v>0</v>
      </c>
      <c r="BJ248" s="24">
        <f>F248*G248</f>
        <v>0</v>
      </c>
      <c r="BK248" s="26" t="s">
        <v>53</v>
      </c>
      <c r="BL248" s="24"/>
      <c r="BW248" s="24">
        <v>21</v>
      </c>
      <c r="BX248" s="4" t="s">
        <v>755</v>
      </c>
    </row>
    <row r="249" spans="1:76" ht="14.4" x14ac:dyDescent="0.3">
      <c r="A249" s="27" t="s">
        <v>43</v>
      </c>
      <c r="B249" s="28" t="s">
        <v>756</v>
      </c>
      <c r="C249" s="98" t="s">
        <v>757</v>
      </c>
      <c r="D249" s="99"/>
      <c r="E249" s="29" t="s">
        <v>3</v>
      </c>
      <c r="F249" s="29" t="s">
        <v>3</v>
      </c>
      <c r="G249" s="29" t="s">
        <v>3</v>
      </c>
      <c r="H249" s="1">
        <f>ROUND(SUM(H250:H256),2)</f>
        <v>0</v>
      </c>
      <c r="I249" s="1">
        <f>ROUND(SUM(I250:I256),2)</f>
        <v>0</v>
      </c>
      <c r="J249" s="1">
        <f>ROUND(SUM(J250:J256),2)</f>
        <v>0</v>
      </c>
      <c r="K249" s="30"/>
      <c r="AI249" s="10" t="s">
        <v>43</v>
      </c>
      <c r="AS249" s="1">
        <f>SUM(AJ250:AJ256)</f>
        <v>0</v>
      </c>
      <c r="AT249" s="1">
        <f>SUM(AK250:AK256)</f>
        <v>0</v>
      </c>
      <c r="AU249" s="1">
        <f>SUM(AL250:AL256)</f>
        <v>0</v>
      </c>
    </row>
    <row r="250" spans="1:76" ht="26.4" x14ac:dyDescent="0.3">
      <c r="A250" s="2" t="s">
        <v>758</v>
      </c>
      <c r="B250" s="3" t="s">
        <v>759</v>
      </c>
      <c r="C250" s="82" t="s">
        <v>760</v>
      </c>
      <c r="D250" s="81"/>
      <c r="E250" s="3" t="s">
        <v>91</v>
      </c>
      <c r="F250" s="24">
        <v>70.454999999999998</v>
      </c>
      <c r="G250" s="180">
        <v>0</v>
      </c>
      <c r="H250" s="24">
        <f t="shared" ref="H250:H256" si="370">ROUND(F250*AO250,2)</f>
        <v>0</v>
      </c>
      <c r="I250" s="24">
        <f t="shared" ref="I250:I256" si="371">ROUND(F250*AP250,2)</f>
        <v>0</v>
      </c>
      <c r="J250" s="24">
        <f t="shared" ref="J250:J256" si="372">ROUND(F250*G250,2)</f>
        <v>0</v>
      </c>
      <c r="K250" s="25"/>
      <c r="Z250" s="24">
        <f t="shared" ref="Z250:Z256" si="373">ROUND(IF(AQ250="5",BJ250,0),2)</f>
        <v>0</v>
      </c>
      <c r="AB250" s="24">
        <f t="shared" ref="AB250:AB256" si="374">ROUND(IF(AQ250="1",BH250,0),2)</f>
        <v>0</v>
      </c>
      <c r="AC250" s="24">
        <f t="shared" ref="AC250:AC256" si="375">ROUND(IF(AQ250="1",BI250,0),2)</f>
        <v>0</v>
      </c>
      <c r="AD250" s="24">
        <f t="shared" ref="AD250:AD256" si="376">ROUND(IF(AQ250="7",BH250,0),2)</f>
        <v>0</v>
      </c>
      <c r="AE250" s="24">
        <f t="shared" ref="AE250:AE256" si="377">ROUND(IF(AQ250="7",BI250,0),2)</f>
        <v>0</v>
      </c>
      <c r="AF250" s="24">
        <f t="shared" ref="AF250:AF256" si="378">ROUND(IF(AQ250="2",BH250,0),2)</f>
        <v>0</v>
      </c>
      <c r="AG250" s="24">
        <f t="shared" ref="AG250:AG256" si="379">ROUND(IF(AQ250="2",BI250,0),2)</f>
        <v>0</v>
      </c>
      <c r="AH250" s="24">
        <f t="shared" ref="AH250:AH256" si="380">ROUND(IF(AQ250="0",BJ250,0),2)</f>
        <v>0</v>
      </c>
      <c r="AI250" s="10" t="s">
        <v>43</v>
      </c>
      <c r="AJ250" s="24">
        <f t="shared" ref="AJ250:AJ256" si="381">IF(AN250=0,J250,0)</f>
        <v>0</v>
      </c>
      <c r="AK250" s="24">
        <f t="shared" ref="AK250:AK256" si="382">IF(AN250=12,J250,0)</f>
        <v>0</v>
      </c>
      <c r="AL250" s="24">
        <f t="shared" ref="AL250:AL256" si="383">IF(AN250=21,J250,0)</f>
        <v>0</v>
      </c>
      <c r="AN250" s="24">
        <v>21</v>
      </c>
      <c r="AO250" s="24">
        <f t="shared" ref="AO250:AO255" si="384">G250*0</f>
        <v>0</v>
      </c>
      <c r="AP250" s="24">
        <f t="shared" ref="AP250:AP255" si="385">G250*(1-0)</f>
        <v>0</v>
      </c>
      <c r="AQ250" s="26" t="s">
        <v>46</v>
      </c>
      <c r="AV250" s="24">
        <f t="shared" ref="AV250:AV256" si="386">ROUND(AW250+AX250,2)</f>
        <v>0</v>
      </c>
      <c r="AW250" s="24">
        <f t="shared" ref="AW250:AW256" si="387">ROUND(F250*AO250,2)</f>
        <v>0</v>
      </c>
      <c r="AX250" s="24">
        <f t="shared" ref="AX250:AX256" si="388">ROUND(F250*AP250,2)</f>
        <v>0</v>
      </c>
      <c r="AY250" s="26" t="s">
        <v>761</v>
      </c>
      <c r="AZ250" s="26" t="s">
        <v>651</v>
      </c>
      <c r="BA250" s="10" t="s">
        <v>52</v>
      </c>
      <c r="BC250" s="24">
        <f t="shared" ref="BC250:BC256" si="389">AW250+AX250</f>
        <v>0</v>
      </c>
      <c r="BD250" s="24">
        <f t="shared" ref="BD250:BD256" si="390">G250/(100-BE250)*100</f>
        <v>0</v>
      </c>
      <c r="BE250" s="24">
        <v>0</v>
      </c>
      <c r="BF250" s="24">
        <f>247</f>
        <v>247</v>
      </c>
      <c r="BH250" s="24">
        <f t="shared" ref="BH250:BH256" si="391">F250*AO250</f>
        <v>0</v>
      </c>
      <c r="BI250" s="24">
        <f t="shared" ref="BI250:BI256" si="392">F250*AP250</f>
        <v>0</v>
      </c>
      <c r="BJ250" s="24">
        <f t="shared" ref="BJ250:BJ256" si="393">F250*G250</f>
        <v>0</v>
      </c>
      <c r="BK250" s="26" t="s">
        <v>53</v>
      </c>
      <c r="BL250" s="24"/>
      <c r="BW250" s="24">
        <v>21</v>
      </c>
      <c r="BX250" s="4" t="s">
        <v>760</v>
      </c>
    </row>
    <row r="251" spans="1:76" ht="14.4" x14ac:dyDescent="0.3">
      <c r="A251" s="2" t="s">
        <v>762</v>
      </c>
      <c r="B251" s="3" t="s">
        <v>763</v>
      </c>
      <c r="C251" s="82" t="s">
        <v>764</v>
      </c>
      <c r="D251" s="81"/>
      <c r="E251" s="3" t="s">
        <v>91</v>
      </c>
      <c r="F251" s="24">
        <v>67.650000000000006</v>
      </c>
      <c r="G251" s="180">
        <v>0</v>
      </c>
      <c r="H251" s="24">
        <f t="shared" si="370"/>
        <v>0</v>
      </c>
      <c r="I251" s="24">
        <f t="shared" si="371"/>
        <v>0</v>
      </c>
      <c r="J251" s="24">
        <f t="shared" si="372"/>
        <v>0</v>
      </c>
      <c r="K251" s="25"/>
      <c r="Z251" s="24">
        <f t="shared" si="373"/>
        <v>0</v>
      </c>
      <c r="AB251" s="24">
        <f t="shared" si="374"/>
        <v>0</v>
      </c>
      <c r="AC251" s="24">
        <f t="shared" si="375"/>
        <v>0</v>
      </c>
      <c r="AD251" s="24">
        <f t="shared" si="376"/>
        <v>0</v>
      </c>
      <c r="AE251" s="24">
        <f t="shared" si="377"/>
        <v>0</v>
      </c>
      <c r="AF251" s="24">
        <f t="shared" si="378"/>
        <v>0</v>
      </c>
      <c r="AG251" s="24">
        <f t="shared" si="379"/>
        <v>0</v>
      </c>
      <c r="AH251" s="24">
        <f t="shared" si="380"/>
        <v>0</v>
      </c>
      <c r="AI251" s="10" t="s">
        <v>43</v>
      </c>
      <c r="AJ251" s="24">
        <f t="shared" si="381"/>
        <v>0</v>
      </c>
      <c r="AK251" s="24">
        <f t="shared" si="382"/>
        <v>0</v>
      </c>
      <c r="AL251" s="24">
        <f t="shared" si="383"/>
        <v>0</v>
      </c>
      <c r="AN251" s="24">
        <v>21</v>
      </c>
      <c r="AO251" s="24">
        <f t="shared" si="384"/>
        <v>0</v>
      </c>
      <c r="AP251" s="24">
        <f t="shared" si="385"/>
        <v>0</v>
      </c>
      <c r="AQ251" s="26" t="s">
        <v>46</v>
      </c>
      <c r="AV251" s="24">
        <f t="shared" si="386"/>
        <v>0</v>
      </c>
      <c r="AW251" s="24">
        <f t="shared" si="387"/>
        <v>0</v>
      </c>
      <c r="AX251" s="24">
        <f t="shared" si="388"/>
        <v>0</v>
      </c>
      <c r="AY251" s="26" t="s">
        <v>761</v>
      </c>
      <c r="AZ251" s="26" t="s">
        <v>651</v>
      </c>
      <c r="BA251" s="10" t="s">
        <v>52</v>
      </c>
      <c r="BC251" s="24">
        <f t="shared" si="389"/>
        <v>0</v>
      </c>
      <c r="BD251" s="24">
        <f t="shared" si="390"/>
        <v>0</v>
      </c>
      <c r="BE251" s="24">
        <v>0</v>
      </c>
      <c r="BF251" s="24">
        <f>248</f>
        <v>248</v>
      </c>
      <c r="BH251" s="24">
        <f t="shared" si="391"/>
        <v>0</v>
      </c>
      <c r="BI251" s="24">
        <f t="shared" si="392"/>
        <v>0</v>
      </c>
      <c r="BJ251" s="24">
        <f t="shared" si="393"/>
        <v>0</v>
      </c>
      <c r="BK251" s="26" t="s">
        <v>53</v>
      </c>
      <c r="BL251" s="24"/>
      <c r="BW251" s="24">
        <v>21</v>
      </c>
      <c r="BX251" s="4" t="s">
        <v>764</v>
      </c>
    </row>
    <row r="252" spans="1:76" ht="14.4" x14ac:dyDescent="0.3">
      <c r="A252" s="2" t="s">
        <v>765</v>
      </c>
      <c r="B252" s="3" t="s">
        <v>766</v>
      </c>
      <c r="C252" s="82" t="s">
        <v>767</v>
      </c>
      <c r="D252" s="81"/>
      <c r="E252" s="3" t="s">
        <v>91</v>
      </c>
      <c r="F252" s="24">
        <v>60</v>
      </c>
      <c r="G252" s="180">
        <v>0</v>
      </c>
      <c r="H252" s="24">
        <f t="shared" si="370"/>
        <v>0</v>
      </c>
      <c r="I252" s="24">
        <f t="shared" si="371"/>
        <v>0</v>
      </c>
      <c r="J252" s="24">
        <f t="shared" si="372"/>
        <v>0</v>
      </c>
      <c r="K252" s="25"/>
      <c r="Z252" s="24">
        <f t="shared" si="373"/>
        <v>0</v>
      </c>
      <c r="AB252" s="24">
        <f t="shared" si="374"/>
        <v>0</v>
      </c>
      <c r="AC252" s="24">
        <f t="shared" si="375"/>
        <v>0</v>
      </c>
      <c r="AD252" s="24">
        <f t="shared" si="376"/>
        <v>0</v>
      </c>
      <c r="AE252" s="24">
        <f t="shared" si="377"/>
        <v>0</v>
      </c>
      <c r="AF252" s="24">
        <f t="shared" si="378"/>
        <v>0</v>
      </c>
      <c r="AG252" s="24">
        <f t="shared" si="379"/>
        <v>0</v>
      </c>
      <c r="AH252" s="24">
        <f t="shared" si="380"/>
        <v>0</v>
      </c>
      <c r="AI252" s="10" t="s">
        <v>43</v>
      </c>
      <c r="AJ252" s="24">
        <f t="shared" si="381"/>
        <v>0</v>
      </c>
      <c r="AK252" s="24">
        <f t="shared" si="382"/>
        <v>0</v>
      </c>
      <c r="AL252" s="24">
        <f t="shared" si="383"/>
        <v>0</v>
      </c>
      <c r="AN252" s="24">
        <v>21</v>
      </c>
      <c r="AO252" s="24">
        <f t="shared" si="384"/>
        <v>0</v>
      </c>
      <c r="AP252" s="24">
        <f t="shared" si="385"/>
        <v>0</v>
      </c>
      <c r="AQ252" s="26" t="s">
        <v>46</v>
      </c>
      <c r="AV252" s="24">
        <f t="shared" si="386"/>
        <v>0</v>
      </c>
      <c r="AW252" s="24">
        <f t="shared" si="387"/>
        <v>0</v>
      </c>
      <c r="AX252" s="24">
        <f t="shared" si="388"/>
        <v>0</v>
      </c>
      <c r="AY252" s="26" t="s">
        <v>761</v>
      </c>
      <c r="AZ252" s="26" t="s">
        <v>651</v>
      </c>
      <c r="BA252" s="10" t="s">
        <v>52</v>
      </c>
      <c r="BC252" s="24">
        <f t="shared" si="389"/>
        <v>0</v>
      </c>
      <c r="BD252" s="24">
        <f t="shared" si="390"/>
        <v>0</v>
      </c>
      <c r="BE252" s="24">
        <v>0</v>
      </c>
      <c r="BF252" s="24">
        <f>249</f>
        <v>249</v>
      </c>
      <c r="BH252" s="24">
        <f t="shared" si="391"/>
        <v>0</v>
      </c>
      <c r="BI252" s="24">
        <f t="shared" si="392"/>
        <v>0</v>
      </c>
      <c r="BJ252" s="24">
        <f t="shared" si="393"/>
        <v>0</v>
      </c>
      <c r="BK252" s="26" t="s">
        <v>53</v>
      </c>
      <c r="BL252" s="24"/>
      <c r="BW252" s="24">
        <v>21</v>
      </c>
      <c r="BX252" s="4" t="s">
        <v>767</v>
      </c>
    </row>
    <row r="253" spans="1:76" ht="14.4" x14ac:dyDescent="0.3">
      <c r="A253" s="2" t="s">
        <v>768</v>
      </c>
      <c r="B253" s="3" t="s">
        <v>769</v>
      </c>
      <c r="C253" s="82" t="s">
        <v>770</v>
      </c>
      <c r="D253" s="81"/>
      <c r="E253" s="3" t="s">
        <v>91</v>
      </c>
      <c r="F253" s="24">
        <v>70.454999999999998</v>
      </c>
      <c r="G253" s="180">
        <v>0</v>
      </c>
      <c r="H253" s="24">
        <f t="shared" si="370"/>
        <v>0</v>
      </c>
      <c r="I253" s="24">
        <f t="shared" si="371"/>
        <v>0</v>
      </c>
      <c r="J253" s="24">
        <f t="shared" si="372"/>
        <v>0</v>
      </c>
      <c r="K253" s="25"/>
      <c r="Z253" s="24">
        <f t="shared" si="373"/>
        <v>0</v>
      </c>
      <c r="AB253" s="24">
        <f t="shared" si="374"/>
        <v>0</v>
      </c>
      <c r="AC253" s="24">
        <f t="shared" si="375"/>
        <v>0</v>
      </c>
      <c r="AD253" s="24">
        <f t="shared" si="376"/>
        <v>0</v>
      </c>
      <c r="AE253" s="24">
        <f t="shared" si="377"/>
        <v>0</v>
      </c>
      <c r="AF253" s="24">
        <f t="shared" si="378"/>
        <v>0</v>
      </c>
      <c r="AG253" s="24">
        <f t="shared" si="379"/>
        <v>0</v>
      </c>
      <c r="AH253" s="24">
        <f t="shared" si="380"/>
        <v>0</v>
      </c>
      <c r="AI253" s="10" t="s">
        <v>43</v>
      </c>
      <c r="AJ253" s="24">
        <f t="shared" si="381"/>
        <v>0</v>
      </c>
      <c r="AK253" s="24">
        <f t="shared" si="382"/>
        <v>0</v>
      </c>
      <c r="AL253" s="24">
        <f t="shared" si="383"/>
        <v>0</v>
      </c>
      <c r="AN253" s="24">
        <v>21</v>
      </c>
      <c r="AO253" s="24">
        <f t="shared" si="384"/>
        <v>0</v>
      </c>
      <c r="AP253" s="24">
        <f t="shared" si="385"/>
        <v>0</v>
      </c>
      <c r="AQ253" s="26" t="s">
        <v>46</v>
      </c>
      <c r="AV253" s="24">
        <f t="shared" si="386"/>
        <v>0</v>
      </c>
      <c r="AW253" s="24">
        <f t="shared" si="387"/>
        <v>0</v>
      </c>
      <c r="AX253" s="24">
        <f t="shared" si="388"/>
        <v>0</v>
      </c>
      <c r="AY253" s="26" t="s">
        <v>761</v>
      </c>
      <c r="AZ253" s="26" t="s">
        <v>651</v>
      </c>
      <c r="BA253" s="10" t="s">
        <v>52</v>
      </c>
      <c r="BC253" s="24">
        <f t="shared" si="389"/>
        <v>0</v>
      </c>
      <c r="BD253" s="24">
        <f t="shared" si="390"/>
        <v>0</v>
      </c>
      <c r="BE253" s="24">
        <v>0</v>
      </c>
      <c r="BF253" s="24">
        <f>250</f>
        <v>250</v>
      </c>
      <c r="BH253" s="24">
        <f t="shared" si="391"/>
        <v>0</v>
      </c>
      <c r="BI253" s="24">
        <f t="shared" si="392"/>
        <v>0</v>
      </c>
      <c r="BJ253" s="24">
        <f t="shared" si="393"/>
        <v>0</v>
      </c>
      <c r="BK253" s="26" t="s">
        <v>53</v>
      </c>
      <c r="BL253" s="24"/>
      <c r="BW253" s="24">
        <v>21</v>
      </c>
      <c r="BX253" s="4" t="s">
        <v>770</v>
      </c>
    </row>
    <row r="254" spans="1:76" ht="14.4" x14ac:dyDescent="0.3">
      <c r="A254" s="2" t="s">
        <v>771</v>
      </c>
      <c r="B254" s="3" t="s">
        <v>772</v>
      </c>
      <c r="C254" s="82" t="s">
        <v>773</v>
      </c>
      <c r="D254" s="81"/>
      <c r="E254" s="3" t="s">
        <v>76</v>
      </c>
      <c r="F254" s="24">
        <v>40</v>
      </c>
      <c r="G254" s="180">
        <v>0</v>
      </c>
      <c r="H254" s="24">
        <f t="shared" si="370"/>
        <v>0</v>
      </c>
      <c r="I254" s="24">
        <f t="shared" si="371"/>
        <v>0</v>
      </c>
      <c r="J254" s="24">
        <f t="shared" si="372"/>
        <v>0</v>
      </c>
      <c r="K254" s="25"/>
      <c r="Z254" s="24">
        <f t="shared" si="373"/>
        <v>0</v>
      </c>
      <c r="AB254" s="24">
        <f t="shared" si="374"/>
        <v>0</v>
      </c>
      <c r="AC254" s="24">
        <f t="shared" si="375"/>
        <v>0</v>
      </c>
      <c r="AD254" s="24">
        <f t="shared" si="376"/>
        <v>0</v>
      </c>
      <c r="AE254" s="24">
        <f t="shared" si="377"/>
        <v>0</v>
      </c>
      <c r="AF254" s="24">
        <f t="shared" si="378"/>
        <v>0</v>
      </c>
      <c r="AG254" s="24">
        <f t="shared" si="379"/>
        <v>0</v>
      </c>
      <c r="AH254" s="24">
        <f t="shared" si="380"/>
        <v>0</v>
      </c>
      <c r="AI254" s="10" t="s">
        <v>43</v>
      </c>
      <c r="AJ254" s="24">
        <f t="shared" si="381"/>
        <v>0</v>
      </c>
      <c r="AK254" s="24">
        <f t="shared" si="382"/>
        <v>0</v>
      </c>
      <c r="AL254" s="24">
        <f t="shared" si="383"/>
        <v>0</v>
      </c>
      <c r="AN254" s="24">
        <v>21</v>
      </c>
      <c r="AO254" s="24">
        <f t="shared" si="384"/>
        <v>0</v>
      </c>
      <c r="AP254" s="24">
        <f t="shared" si="385"/>
        <v>0</v>
      </c>
      <c r="AQ254" s="26" t="s">
        <v>46</v>
      </c>
      <c r="AV254" s="24">
        <f t="shared" si="386"/>
        <v>0</v>
      </c>
      <c r="AW254" s="24">
        <f t="shared" si="387"/>
        <v>0</v>
      </c>
      <c r="AX254" s="24">
        <f t="shared" si="388"/>
        <v>0</v>
      </c>
      <c r="AY254" s="26" t="s">
        <v>761</v>
      </c>
      <c r="AZ254" s="26" t="s">
        <v>651</v>
      </c>
      <c r="BA254" s="10" t="s">
        <v>52</v>
      </c>
      <c r="BC254" s="24">
        <f t="shared" si="389"/>
        <v>0</v>
      </c>
      <c r="BD254" s="24">
        <f t="shared" si="390"/>
        <v>0</v>
      </c>
      <c r="BE254" s="24">
        <v>0</v>
      </c>
      <c r="BF254" s="24">
        <f>251</f>
        <v>251</v>
      </c>
      <c r="BH254" s="24">
        <f t="shared" si="391"/>
        <v>0</v>
      </c>
      <c r="BI254" s="24">
        <f t="shared" si="392"/>
        <v>0</v>
      </c>
      <c r="BJ254" s="24">
        <f t="shared" si="393"/>
        <v>0</v>
      </c>
      <c r="BK254" s="26" t="s">
        <v>53</v>
      </c>
      <c r="BL254" s="24"/>
      <c r="BW254" s="24">
        <v>21</v>
      </c>
      <c r="BX254" s="4" t="s">
        <v>773</v>
      </c>
    </row>
    <row r="255" spans="1:76" ht="14.4" x14ac:dyDescent="0.3">
      <c r="A255" s="2" t="s">
        <v>774</v>
      </c>
      <c r="B255" s="3" t="s">
        <v>775</v>
      </c>
      <c r="C255" s="82" t="s">
        <v>776</v>
      </c>
      <c r="D255" s="81"/>
      <c r="E255" s="3" t="s">
        <v>261</v>
      </c>
      <c r="F255" s="24">
        <v>3.5819999999999998E-2</v>
      </c>
      <c r="G255" s="180">
        <v>0</v>
      </c>
      <c r="H255" s="24">
        <f t="shared" si="370"/>
        <v>0</v>
      </c>
      <c r="I255" s="24">
        <f t="shared" si="371"/>
        <v>0</v>
      </c>
      <c r="J255" s="24">
        <f t="shared" si="372"/>
        <v>0</v>
      </c>
      <c r="K255" s="25"/>
      <c r="Z255" s="24">
        <f t="shared" si="373"/>
        <v>0</v>
      </c>
      <c r="AB255" s="24">
        <f t="shared" si="374"/>
        <v>0</v>
      </c>
      <c r="AC255" s="24">
        <f t="shared" si="375"/>
        <v>0</v>
      </c>
      <c r="AD255" s="24">
        <f t="shared" si="376"/>
        <v>0</v>
      </c>
      <c r="AE255" s="24">
        <f t="shared" si="377"/>
        <v>0</v>
      </c>
      <c r="AF255" s="24">
        <f t="shared" si="378"/>
        <v>0</v>
      </c>
      <c r="AG255" s="24">
        <f t="shared" si="379"/>
        <v>0</v>
      </c>
      <c r="AH255" s="24">
        <f t="shared" si="380"/>
        <v>0</v>
      </c>
      <c r="AI255" s="10" t="s">
        <v>43</v>
      </c>
      <c r="AJ255" s="24">
        <f t="shared" si="381"/>
        <v>0</v>
      </c>
      <c r="AK255" s="24">
        <f t="shared" si="382"/>
        <v>0</v>
      </c>
      <c r="AL255" s="24">
        <f t="shared" si="383"/>
        <v>0</v>
      </c>
      <c r="AN255" s="24">
        <v>21</v>
      </c>
      <c r="AO255" s="24">
        <f t="shared" si="384"/>
        <v>0</v>
      </c>
      <c r="AP255" s="24">
        <f t="shared" si="385"/>
        <v>0</v>
      </c>
      <c r="AQ255" s="26" t="s">
        <v>64</v>
      </c>
      <c r="AV255" s="24">
        <f t="shared" si="386"/>
        <v>0</v>
      </c>
      <c r="AW255" s="24">
        <f t="shared" si="387"/>
        <v>0</v>
      </c>
      <c r="AX255" s="24">
        <f t="shared" si="388"/>
        <v>0</v>
      </c>
      <c r="AY255" s="26" t="s">
        <v>761</v>
      </c>
      <c r="AZ255" s="26" t="s">
        <v>651</v>
      </c>
      <c r="BA255" s="10" t="s">
        <v>52</v>
      </c>
      <c r="BC255" s="24">
        <f t="shared" si="389"/>
        <v>0</v>
      </c>
      <c r="BD255" s="24">
        <f t="shared" si="390"/>
        <v>0</v>
      </c>
      <c r="BE255" s="24">
        <v>0</v>
      </c>
      <c r="BF255" s="24">
        <f>252</f>
        <v>252</v>
      </c>
      <c r="BH255" s="24">
        <f t="shared" si="391"/>
        <v>0</v>
      </c>
      <c r="BI255" s="24">
        <f t="shared" si="392"/>
        <v>0</v>
      </c>
      <c r="BJ255" s="24">
        <f t="shared" si="393"/>
        <v>0</v>
      </c>
      <c r="BK255" s="26" t="s">
        <v>53</v>
      </c>
      <c r="BL255" s="24"/>
      <c r="BW255" s="24">
        <v>21</v>
      </c>
      <c r="BX255" s="4" t="s">
        <v>776</v>
      </c>
    </row>
    <row r="256" spans="1:76" ht="26.4" x14ac:dyDescent="0.3">
      <c r="A256" s="2" t="s">
        <v>777</v>
      </c>
      <c r="B256" s="3" t="s">
        <v>778</v>
      </c>
      <c r="C256" s="82" t="s">
        <v>779</v>
      </c>
      <c r="D256" s="81"/>
      <c r="E256" s="3" t="s">
        <v>91</v>
      </c>
      <c r="F256" s="24">
        <v>60</v>
      </c>
      <c r="G256" s="180">
        <v>0</v>
      </c>
      <c r="H256" s="24">
        <f t="shared" si="370"/>
        <v>0</v>
      </c>
      <c r="I256" s="24">
        <f t="shared" si="371"/>
        <v>0</v>
      </c>
      <c r="J256" s="24">
        <f t="shared" si="372"/>
        <v>0</v>
      </c>
      <c r="K256" s="25"/>
      <c r="Z256" s="24">
        <f t="shared" si="373"/>
        <v>0</v>
      </c>
      <c r="AB256" s="24">
        <f t="shared" si="374"/>
        <v>0</v>
      </c>
      <c r="AC256" s="24">
        <f t="shared" si="375"/>
        <v>0</v>
      </c>
      <c r="AD256" s="24">
        <f t="shared" si="376"/>
        <v>0</v>
      </c>
      <c r="AE256" s="24">
        <f t="shared" si="377"/>
        <v>0</v>
      </c>
      <c r="AF256" s="24">
        <f t="shared" si="378"/>
        <v>0</v>
      </c>
      <c r="AG256" s="24">
        <f t="shared" si="379"/>
        <v>0</v>
      </c>
      <c r="AH256" s="24">
        <f t="shared" si="380"/>
        <v>0</v>
      </c>
      <c r="AI256" s="10" t="s">
        <v>43</v>
      </c>
      <c r="AJ256" s="24">
        <f t="shared" si="381"/>
        <v>0</v>
      </c>
      <c r="AK256" s="24">
        <f t="shared" si="382"/>
        <v>0</v>
      </c>
      <c r="AL256" s="24">
        <f t="shared" si="383"/>
        <v>0</v>
      </c>
      <c r="AN256" s="24">
        <v>21</v>
      </c>
      <c r="AO256" s="24">
        <f>G256*1</f>
        <v>0</v>
      </c>
      <c r="AP256" s="24">
        <f>G256*(1-1)</f>
        <v>0</v>
      </c>
      <c r="AQ256" s="26" t="s">
        <v>46</v>
      </c>
      <c r="AV256" s="24">
        <f t="shared" si="386"/>
        <v>0</v>
      </c>
      <c r="AW256" s="24">
        <f t="shared" si="387"/>
        <v>0</v>
      </c>
      <c r="AX256" s="24">
        <f t="shared" si="388"/>
        <v>0</v>
      </c>
      <c r="AY256" s="26" t="s">
        <v>761</v>
      </c>
      <c r="AZ256" s="26" t="s">
        <v>651</v>
      </c>
      <c r="BA256" s="10" t="s">
        <v>52</v>
      </c>
      <c r="BC256" s="24">
        <f t="shared" si="389"/>
        <v>0</v>
      </c>
      <c r="BD256" s="24">
        <f t="shared" si="390"/>
        <v>0</v>
      </c>
      <c r="BE256" s="24">
        <v>0</v>
      </c>
      <c r="BF256" s="24">
        <f>253</f>
        <v>253</v>
      </c>
      <c r="BH256" s="24">
        <f t="shared" si="391"/>
        <v>0</v>
      </c>
      <c r="BI256" s="24">
        <f t="shared" si="392"/>
        <v>0</v>
      </c>
      <c r="BJ256" s="24">
        <f t="shared" si="393"/>
        <v>0</v>
      </c>
      <c r="BK256" s="26" t="s">
        <v>103</v>
      </c>
      <c r="BL256" s="24"/>
      <c r="BW256" s="24">
        <v>21</v>
      </c>
      <c r="BX256" s="4" t="s">
        <v>779</v>
      </c>
    </row>
    <row r="257" spans="1:76" ht="14.4" x14ac:dyDescent="0.3">
      <c r="A257" s="27" t="s">
        <v>43</v>
      </c>
      <c r="B257" s="28" t="s">
        <v>780</v>
      </c>
      <c r="C257" s="98" t="s">
        <v>781</v>
      </c>
      <c r="D257" s="99"/>
      <c r="E257" s="29" t="s">
        <v>3</v>
      </c>
      <c r="F257" s="29" t="s">
        <v>3</v>
      </c>
      <c r="G257" s="29" t="s">
        <v>3</v>
      </c>
      <c r="H257" s="1">
        <f>ROUND(SUM(H258:H261),2)</f>
        <v>0</v>
      </c>
      <c r="I257" s="1">
        <f>ROUND(SUM(I258:I261),2)</f>
        <v>0</v>
      </c>
      <c r="J257" s="1">
        <f>ROUND(SUM(J258:J261),2)</f>
        <v>0</v>
      </c>
      <c r="K257" s="30"/>
      <c r="AI257" s="10" t="s">
        <v>43</v>
      </c>
      <c r="AS257" s="1">
        <f>SUM(AJ258:AJ261)</f>
        <v>0</v>
      </c>
      <c r="AT257" s="1">
        <f>SUM(AK258:AK261)</f>
        <v>0</v>
      </c>
      <c r="AU257" s="1">
        <f>SUM(AL258:AL261)</f>
        <v>0</v>
      </c>
    </row>
    <row r="258" spans="1:76" ht="14.4" x14ac:dyDescent="0.3">
      <c r="A258" s="2" t="s">
        <v>782</v>
      </c>
      <c r="B258" s="3" t="s">
        <v>783</v>
      </c>
      <c r="C258" s="82" t="s">
        <v>784</v>
      </c>
      <c r="D258" s="81"/>
      <c r="E258" s="3" t="s">
        <v>76</v>
      </c>
      <c r="F258" s="24">
        <v>10</v>
      </c>
      <c r="G258" s="180">
        <v>0</v>
      </c>
      <c r="H258" s="24">
        <f>ROUND(F258*AO258,2)</f>
        <v>0</v>
      </c>
      <c r="I258" s="24">
        <f>ROUND(F258*AP258,2)</f>
        <v>0</v>
      </c>
      <c r="J258" s="24">
        <f>ROUND(F258*G258,2)</f>
        <v>0</v>
      </c>
      <c r="K258" s="25"/>
      <c r="Z258" s="24">
        <f>ROUND(IF(AQ258="5",BJ258,0),2)</f>
        <v>0</v>
      </c>
      <c r="AB258" s="24">
        <f>ROUND(IF(AQ258="1",BH258,0),2)</f>
        <v>0</v>
      </c>
      <c r="AC258" s="24">
        <f>ROUND(IF(AQ258="1",BI258,0),2)</f>
        <v>0</v>
      </c>
      <c r="AD258" s="24">
        <f>ROUND(IF(AQ258="7",BH258,0),2)</f>
        <v>0</v>
      </c>
      <c r="AE258" s="24">
        <f>ROUND(IF(AQ258="7",BI258,0),2)</f>
        <v>0</v>
      </c>
      <c r="AF258" s="24">
        <f>ROUND(IF(AQ258="2",BH258,0),2)</f>
        <v>0</v>
      </c>
      <c r="AG258" s="24">
        <f>ROUND(IF(AQ258="2",BI258,0),2)</f>
        <v>0</v>
      </c>
      <c r="AH258" s="24">
        <f>ROUND(IF(AQ258="0",BJ258,0),2)</f>
        <v>0</v>
      </c>
      <c r="AI258" s="10" t="s">
        <v>43</v>
      </c>
      <c r="AJ258" s="24">
        <f>IF(AN258=0,J258,0)</f>
        <v>0</v>
      </c>
      <c r="AK258" s="24">
        <f>IF(AN258=12,J258,0)</f>
        <v>0</v>
      </c>
      <c r="AL258" s="24">
        <f>IF(AN258=21,J258,0)</f>
        <v>0</v>
      </c>
      <c r="AN258" s="24">
        <v>21</v>
      </c>
      <c r="AO258" s="24">
        <f>G258*0</f>
        <v>0</v>
      </c>
      <c r="AP258" s="24">
        <f>G258*(1-0)</f>
        <v>0</v>
      </c>
      <c r="AQ258" s="26" t="s">
        <v>46</v>
      </c>
      <c r="AV258" s="24">
        <f>ROUND(AW258+AX258,2)</f>
        <v>0</v>
      </c>
      <c r="AW258" s="24">
        <f>ROUND(F258*AO258,2)</f>
        <v>0</v>
      </c>
      <c r="AX258" s="24">
        <f>ROUND(F258*AP258,2)</f>
        <v>0</v>
      </c>
      <c r="AY258" s="26" t="s">
        <v>785</v>
      </c>
      <c r="AZ258" s="26" t="s">
        <v>651</v>
      </c>
      <c r="BA258" s="10" t="s">
        <v>52</v>
      </c>
      <c r="BC258" s="24">
        <f>AW258+AX258</f>
        <v>0</v>
      </c>
      <c r="BD258" s="24">
        <f>G258/(100-BE258)*100</f>
        <v>0</v>
      </c>
      <c r="BE258" s="24">
        <v>0</v>
      </c>
      <c r="BF258" s="24">
        <f>255</f>
        <v>255</v>
      </c>
      <c r="BH258" s="24">
        <f>F258*AO258</f>
        <v>0</v>
      </c>
      <c r="BI258" s="24">
        <f>F258*AP258</f>
        <v>0</v>
      </c>
      <c r="BJ258" s="24">
        <f>F258*G258</f>
        <v>0</v>
      </c>
      <c r="BK258" s="26" t="s">
        <v>53</v>
      </c>
      <c r="BL258" s="24"/>
      <c r="BW258" s="24">
        <v>21</v>
      </c>
      <c r="BX258" s="4" t="s">
        <v>784</v>
      </c>
    </row>
    <row r="259" spans="1:76" ht="14.4" x14ac:dyDescent="0.3">
      <c r="A259" s="2" t="s">
        <v>786</v>
      </c>
      <c r="B259" s="3" t="s">
        <v>787</v>
      </c>
      <c r="C259" s="82" t="s">
        <v>788</v>
      </c>
      <c r="D259" s="81"/>
      <c r="E259" s="3" t="s">
        <v>76</v>
      </c>
      <c r="F259" s="24">
        <v>3</v>
      </c>
      <c r="G259" s="180">
        <v>0</v>
      </c>
      <c r="H259" s="24">
        <f>ROUND(F259*AO259,2)</f>
        <v>0</v>
      </c>
      <c r="I259" s="24">
        <f>ROUND(F259*AP259,2)</f>
        <v>0</v>
      </c>
      <c r="J259" s="24">
        <f>ROUND(F259*G259,2)</f>
        <v>0</v>
      </c>
      <c r="K259" s="25"/>
      <c r="Z259" s="24">
        <f>ROUND(IF(AQ259="5",BJ259,0),2)</f>
        <v>0</v>
      </c>
      <c r="AB259" s="24">
        <f>ROUND(IF(AQ259="1",BH259,0),2)</f>
        <v>0</v>
      </c>
      <c r="AC259" s="24">
        <f>ROUND(IF(AQ259="1",BI259,0),2)</f>
        <v>0</v>
      </c>
      <c r="AD259" s="24">
        <f>ROUND(IF(AQ259="7",BH259,0),2)</f>
        <v>0</v>
      </c>
      <c r="AE259" s="24">
        <f>ROUND(IF(AQ259="7",BI259,0),2)</f>
        <v>0</v>
      </c>
      <c r="AF259" s="24">
        <f>ROUND(IF(AQ259="2",BH259,0),2)</f>
        <v>0</v>
      </c>
      <c r="AG259" s="24">
        <f>ROUND(IF(AQ259="2",BI259,0),2)</f>
        <v>0</v>
      </c>
      <c r="AH259" s="24">
        <f>ROUND(IF(AQ259="0",BJ259,0),2)</f>
        <v>0</v>
      </c>
      <c r="AI259" s="10" t="s">
        <v>43</v>
      </c>
      <c r="AJ259" s="24">
        <f>IF(AN259=0,J259,0)</f>
        <v>0</v>
      </c>
      <c r="AK259" s="24">
        <f>IF(AN259=12,J259,0)</f>
        <v>0</v>
      </c>
      <c r="AL259" s="24">
        <f>IF(AN259=21,J259,0)</f>
        <v>0</v>
      </c>
      <c r="AN259" s="24">
        <v>21</v>
      </c>
      <c r="AO259" s="24">
        <f>G259*0</f>
        <v>0</v>
      </c>
      <c r="AP259" s="24">
        <f>G259*(1-0)</f>
        <v>0</v>
      </c>
      <c r="AQ259" s="26" t="s">
        <v>46</v>
      </c>
      <c r="AV259" s="24">
        <f>ROUND(AW259+AX259,2)</f>
        <v>0</v>
      </c>
      <c r="AW259" s="24">
        <f>ROUND(F259*AO259,2)</f>
        <v>0</v>
      </c>
      <c r="AX259" s="24">
        <f>ROUND(F259*AP259,2)</f>
        <v>0</v>
      </c>
      <c r="AY259" s="26" t="s">
        <v>785</v>
      </c>
      <c r="AZ259" s="26" t="s">
        <v>651</v>
      </c>
      <c r="BA259" s="10" t="s">
        <v>52</v>
      </c>
      <c r="BC259" s="24">
        <f>AW259+AX259</f>
        <v>0</v>
      </c>
      <c r="BD259" s="24">
        <f>G259/(100-BE259)*100</f>
        <v>0</v>
      </c>
      <c r="BE259" s="24">
        <v>0</v>
      </c>
      <c r="BF259" s="24">
        <f>256</f>
        <v>256</v>
      </c>
      <c r="BH259" s="24">
        <f>F259*AO259</f>
        <v>0</v>
      </c>
      <c r="BI259" s="24">
        <f>F259*AP259</f>
        <v>0</v>
      </c>
      <c r="BJ259" s="24">
        <f>F259*G259</f>
        <v>0</v>
      </c>
      <c r="BK259" s="26" t="s">
        <v>53</v>
      </c>
      <c r="BL259" s="24"/>
      <c r="BW259" s="24">
        <v>21</v>
      </c>
      <c r="BX259" s="4" t="s">
        <v>788</v>
      </c>
    </row>
    <row r="260" spans="1:76" ht="14.4" x14ac:dyDescent="0.3">
      <c r="A260" s="2" t="s">
        <v>789</v>
      </c>
      <c r="B260" s="3" t="s">
        <v>790</v>
      </c>
      <c r="C260" s="82" t="s">
        <v>791</v>
      </c>
      <c r="D260" s="81"/>
      <c r="E260" s="3" t="s">
        <v>76</v>
      </c>
      <c r="F260" s="24">
        <v>3</v>
      </c>
      <c r="G260" s="180">
        <v>0</v>
      </c>
      <c r="H260" s="24">
        <f>ROUND(F260*AO260,2)</f>
        <v>0</v>
      </c>
      <c r="I260" s="24">
        <f>ROUND(F260*AP260,2)</f>
        <v>0</v>
      </c>
      <c r="J260" s="24">
        <f>ROUND(F260*G260,2)</f>
        <v>0</v>
      </c>
      <c r="K260" s="25"/>
      <c r="Z260" s="24">
        <f>ROUND(IF(AQ260="5",BJ260,0),2)</f>
        <v>0</v>
      </c>
      <c r="AB260" s="24">
        <f>ROUND(IF(AQ260="1",BH260,0),2)</f>
        <v>0</v>
      </c>
      <c r="AC260" s="24">
        <f>ROUND(IF(AQ260="1",BI260,0),2)</f>
        <v>0</v>
      </c>
      <c r="AD260" s="24">
        <f>ROUND(IF(AQ260="7",BH260,0),2)</f>
        <v>0</v>
      </c>
      <c r="AE260" s="24">
        <f>ROUND(IF(AQ260="7",BI260,0),2)</f>
        <v>0</v>
      </c>
      <c r="AF260" s="24">
        <f>ROUND(IF(AQ260="2",BH260,0),2)</f>
        <v>0</v>
      </c>
      <c r="AG260" s="24">
        <f>ROUND(IF(AQ260="2",BI260,0),2)</f>
        <v>0</v>
      </c>
      <c r="AH260" s="24">
        <f>ROUND(IF(AQ260="0",BJ260,0),2)</f>
        <v>0</v>
      </c>
      <c r="AI260" s="10" t="s">
        <v>43</v>
      </c>
      <c r="AJ260" s="24">
        <f>IF(AN260=0,J260,0)</f>
        <v>0</v>
      </c>
      <c r="AK260" s="24">
        <f>IF(AN260=12,J260,0)</f>
        <v>0</v>
      </c>
      <c r="AL260" s="24">
        <f>IF(AN260=21,J260,0)</f>
        <v>0</v>
      </c>
      <c r="AN260" s="24">
        <v>21</v>
      </c>
      <c r="AO260" s="24">
        <f>G260*0</f>
        <v>0</v>
      </c>
      <c r="AP260" s="24">
        <f>G260*(1-0)</f>
        <v>0</v>
      </c>
      <c r="AQ260" s="26" t="s">
        <v>46</v>
      </c>
      <c r="AV260" s="24">
        <f>ROUND(AW260+AX260,2)</f>
        <v>0</v>
      </c>
      <c r="AW260" s="24">
        <f>ROUND(F260*AO260,2)</f>
        <v>0</v>
      </c>
      <c r="AX260" s="24">
        <f>ROUND(F260*AP260,2)</f>
        <v>0</v>
      </c>
      <c r="AY260" s="26" t="s">
        <v>785</v>
      </c>
      <c r="AZ260" s="26" t="s">
        <v>651</v>
      </c>
      <c r="BA260" s="10" t="s">
        <v>52</v>
      </c>
      <c r="BC260" s="24">
        <f>AW260+AX260</f>
        <v>0</v>
      </c>
      <c r="BD260" s="24">
        <f>G260/(100-BE260)*100</f>
        <v>0</v>
      </c>
      <c r="BE260" s="24">
        <v>0</v>
      </c>
      <c r="BF260" s="24">
        <f>257</f>
        <v>257</v>
      </c>
      <c r="BH260" s="24">
        <f>F260*AO260</f>
        <v>0</v>
      </c>
      <c r="BI260" s="24">
        <f>F260*AP260</f>
        <v>0</v>
      </c>
      <c r="BJ260" s="24">
        <f>F260*G260</f>
        <v>0</v>
      </c>
      <c r="BK260" s="26" t="s">
        <v>53</v>
      </c>
      <c r="BL260" s="24"/>
      <c r="BW260" s="24">
        <v>21</v>
      </c>
      <c r="BX260" s="4" t="s">
        <v>791</v>
      </c>
    </row>
    <row r="261" spans="1:76" ht="14.4" x14ac:dyDescent="0.3">
      <c r="A261" s="2" t="s">
        <v>792</v>
      </c>
      <c r="B261" s="3" t="s">
        <v>793</v>
      </c>
      <c r="C261" s="82" t="s">
        <v>794</v>
      </c>
      <c r="D261" s="81"/>
      <c r="E261" s="3" t="s">
        <v>261</v>
      </c>
      <c r="F261" s="24">
        <v>4.1999999999999997E-3</v>
      </c>
      <c r="G261" s="180">
        <v>0</v>
      </c>
      <c r="H261" s="24">
        <f>ROUND(F261*AO261,2)</f>
        <v>0</v>
      </c>
      <c r="I261" s="24">
        <f>ROUND(F261*AP261,2)</f>
        <v>0</v>
      </c>
      <c r="J261" s="24">
        <f>ROUND(F261*G261,2)</f>
        <v>0</v>
      </c>
      <c r="K261" s="25"/>
      <c r="Z261" s="24">
        <f>ROUND(IF(AQ261="5",BJ261,0),2)</f>
        <v>0</v>
      </c>
      <c r="AB261" s="24">
        <f>ROUND(IF(AQ261="1",BH261,0),2)</f>
        <v>0</v>
      </c>
      <c r="AC261" s="24">
        <f>ROUND(IF(AQ261="1",BI261,0),2)</f>
        <v>0</v>
      </c>
      <c r="AD261" s="24">
        <f>ROUND(IF(AQ261="7",BH261,0),2)</f>
        <v>0</v>
      </c>
      <c r="AE261" s="24">
        <f>ROUND(IF(AQ261="7",BI261,0),2)</f>
        <v>0</v>
      </c>
      <c r="AF261" s="24">
        <f>ROUND(IF(AQ261="2",BH261,0),2)</f>
        <v>0</v>
      </c>
      <c r="AG261" s="24">
        <f>ROUND(IF(AQ261="2",BI261,0),2)</f>
        <v>0</v>
      </c>
      <c r="AH261" s="24">
        <f>ROUND(IF(AQ261="0",BJ261,0),2)</f>
        <v>0</v>
      </c>
      <c r="AI261" s="10" t="s">
        <v>43</v>
      </c>
      <c r="AJ261" s="24">
        <f>IF(AN261=0,J261,0)</f>
        <v>0</v>
      </c>
      <c r="AK261" s="24">
        <f>IF(AN261=12,J261,0)</f>
        <v>0</v>
      </c>
      <c r="AL261" s="24">
        <f>IF(AN261=21,J261,0)</f>
        <v>0</v>
      </c>
      <c r="AN261" s="24">
        <v>21</v>
      </c>
      <c r="AO261" s="24">
        <f>G261*0</f>
        <v>0</v>
      </c>
      <c r="AP261" s="24">
        <f>G261*(1-0)</f>
        <v>0</v>
      </c>
      <c r="AQ261" s="26" t="s">
        <v>64</v>
      </c>
      <c r="AV261" s="24">
        <f>ROUND(AW261+AX261,2)</f>
        <v>0</v>
      </c>
      <c r="AW261" s="24">
        <f>ROUND(F261*AO261,2)</f>
        <v>0</v>
      </c>
      <c r="AX261" s="24">
        <f>ROUND(F261*AP261,2)</f>
        <v>0</v>
      </c>
      <c r="AY261" s="26" t="s">
        <v>785</v>
      </c>
      <c r="AZ261" s="26" t="s">
        <v>651</v>
      </c>
      <c r="BA261" s="10" t="s">
        <v>52</v>
      </c>
      <c r="BC261" s="24">
        <f>AW261+AX261</f>
        <v>0</v>
      </c>
      <c r="BD261" s="24">
        <f>G261/(100-BE261)*100</f>
        <v>0</v>
      </c>
      <c r="BE261" s="24">
        <v>0</v>
      </c>
      <c r="BF261" s="24">
        <f>258</f>
        <v>258</v>
      </c>
      <c r="BH261" s="24">
        <f>F261*AO261</f>
        <v>0</v>
      </c>
      <c r="BI261" s="24">
        <f>F261*AP261</f>
        <v>0</v>
      </c>
      <c r="BJ261" s="24">
        <f>F261*G261</f>
        <v>0</v>
      </c>
      <c r="BK261" s="26" t="s">
        <v>53</v>
      </c>
      <c r="BL261" s="24"/>
      <c r="BW261" s="24">
        <v>21</v>
      </c>
      <c r="BX261" s="4" t="s">
        <v>794</v>
      </c>
    </row>
    <row r="262" spans="1:76" ht="14.4" x14ac:dyDescent="0.3">
      <c r="A262" s="27" t="s">
        <v>43</v>
      </c>
      <c r="B262" s="28" t="s">
        <v>795</v>
      </c>
      <c r="C262" s="98" t="s">
        <v>796</v>
      </c>
      <c r="D262" s="99"/>
      <c r="E262" s="29" t="s">
        <v>3</v>
      </c>
      <c r="F262" s="29" t="s">
        <v>3</v>
      </c>
      <c r="G262" s="29" t="s">
        <v>3</v>
      </c>
      <c r="H262" s="1">
        <f>ROUND(SUM(H263:H272),2)</f>
        <v>0</v>
      </c>
      <c r="I262" s="1">
        <f>ROUND(SUM(I263:I272),2)</f>
        <v>0</v>
      </c>
      <c r="J262" s="1">
        <f>ROUND(SUM(J263:J272),2)</f>
        <v>0</v>
      </c>
      <c r="K262" s="30"/>
      <c r="AI262" s="10" t="s">
        <v>43</v>
      </c>
      <c r="AS262" s="1">
        <f>SUM(AJ263:AJ272)</f>
        <v>0</v>
      </c>
      <c r="AT262" s="1">
        <f>SUM(AK263:AK272)</f>
        <v>0</v>
      </c>
      <c r="AU262" s="1">
        <f>SUM(AL263:AL272)</f>
        <v>0</v>
      </c>
    </row>
    <row r="263" spans="1:76" ht="26.4" x14ac:dyDescent="0.3">
      <c r="A263" s="2" t="s">
        <v>797</v>
      </c>
      <c r="B263" s="3" t="s">
        <v>798</v>
      </c>
      <c r="C263" s="82" t="s">
        <v>799</v>
      </c>
      <c r="D263" s="81"/>
      <c r="E263" s="3" t="s">
        <v>76</v>
      </c>
      <c r="F263" s="24">
        <v>3</v>
      </c>
      <c r="G263" s="180">
        <v>0</v>
      </c>
      <c r="H263" s="24">
        <f t="shared" ref="H263:H272" si="394">ROUND(F263*AO263,2)</f>
        <v>0</v>
      </c>
      <c r="I263" s="24">
        <f t="shared" ref="I263:I272" si="395">ROUND(F263*AP263,2)</f>
        <v>0</v>
      </c>
      <c r="J263" s="24">
        <f t="shared" ref="J263:J272" si="396">ROUND(F263*G263,2)</f>
        <v>0</v>
      </c>
      <c r="K263" s="25"/>
      <c r="Z263" s="24">
        <f t="shared" ref="Z263:Z272" si="397">ROUND(IF(AQ263="5",BJ263,0),2)</f>
        <v>0</v>
      </c>
      <c r="AB263" s="24">
        <f t="shared" ref="AB263:AB272" si="398">ROUND(IF(AQ263="1",BH263,0),2)</f>
        <v>0</v>
      </c>
      <c r="AC263" s="24">
        <f t="shared" ref="AC263:AC272" si="399">ROUND(IF(AQ263="1",BI263,0),2)</f>
        <v>0</v>
      </c>
      <c r="AD263" s="24">
        <f t="shared" ref="AD263:AD272" si="400">ROUND(IF(AQ263="7",BH263,0),2)</f>
        <v>0</v>
      </c>
      <c r="AE263" s="24">
        <f t="shared" ref="AE263:AE272" si="401">ROUND(IF(AQ263="7",BI263,0),2)</f>
        <v>0</v>
      </c>
      <c r="AF263" s="24">
        <f t="shared" ref="AF263:AF272" si="402">ROUND(IF(AQ263="2",BH263,0),2)</f>
        <v>0</v>
      </c>
      <c r="AG263" s="24">
        <f t="shared" ref="AG263:AG272" si="403">ROUND(IF(AQ263="2",BI263,0),2)</f>
        <v>0</v>
      </c>
      <c r="AH263" s="24">
        <f t="shared" ref="AH263:AH272" si="404">ROUND(IF(AQ263="0",BJ263,0),2)</f>
        <v>0</v>
      </c>
      <c r="AI263" s="10" t="s">
        <v>43</v>
      </c>
      <c r="AJ263" s="24">
        <f t="shared" ref="AJ263:AJ272" si="405">IF(AN263=0,J263,0)</f>
        <v>0</v>
      </c>
      <c r="AK263" s="24">
        <f t="shared" ref="AK263:AK272" si="406">IF(AN263=12,J263,0)</f>
        <v>0</v>
      </c>
      <c r="AL263" s="24">
        <f t="shared" ref="AL263:AL272" si="407">IF(AN263=21,J263,0)</f>
        <v>0</v>
      </c>
      <c r="AN263" s="24">
        <v>21</v>
      </c>
      <c r="AO263" s="24">
        <f t="shared" ref="AO263:AO272" si="408">G263*0</f>
        <v>0</v>
      </c>
      <c r="AP263" s="24">
        <f t="shared" ref="AP263:AP272" si="409">G263*(1-0)</f>
        <v>0</v>
      </c>
      <c r="AQ263" s="26" t="s">
        <v>46</v>
      </c>
      <c r="AV263" s="24">
        <f t="shared" ref="AV263:AV272" si="410">ROUND(AW263+AX263,2)</f>
        <v>0</v>
      </c>
      <c r="AW263" s="24">
        <f t="shared" ref="AW263:AW272" si="411">ROUND(F263*AO263,2)</f>
        <v>0</v>
      </c>
      <c r="AX263" s="24">
        <f t="shared" ref="AX263:AX272" si="412">ROUND(F263*AP263,2)</f>
        <v>0</v>
      </c>
      <c r="AY263" s="26" t="s">
        <v>800</v>
      </c>
      <c r="AZ263" s="26" t="s">
        <v>651</v>
      </c>
      <c r="BA263" s="10" t="s">
        <v>52</v>
      </c>
      <c r="BC263" s="24">
        <f t="shared" ref="BC263:BC272" si="413">AW263+AX263</f>
        <v>0</v>
      </c>
      <c r="BD263" s="24">
        <f t="shared" ref="BD263:BD272" si="414">G263/(100-BE263)*100</f>
        <v>0</v>
      </c>
      <c r="BE263" s="24">
        <v>0</v>
      </c>
      <c r="BF263" s="24">
        <f>260</f>
        <v>260</v>
      </c>
      <c r="BH263" s="24">
        <f t="shared" ref="BH263:BH272" si="415">F263*AO263</f>
        <v>0</v>
      </c>
      <c r="BI263" s="24">
        <f t="shared" ref="BI263:BI272" si="416">F263*AP263</f>
        <v>0</v>
      </c>
      <c r="BJ263" s="24">
        <f t="shared" ref="BJ263:BJ272" si="417">F263*G263</f>
        <v>0</v>
      </c>
      <c r="BK263" s="26" t="s">
        <v>53</v>
      </c>
      <c r="BL263" s="24"/>
      <c r="BW263" s="24">
        <v>21</v>
      </c>
      <c r="BX263" s="4" t="s">
        <v>799</v>
      </c>
    </row>
    <row r="264" spans="1:76" ht="14.4" x14ac:dyDescent="0.3">
      <c r="A264" s="2" t="s">
        <v>801</v>
      </c>
      <c r="B264" s="3" t="s">
        <v>802</v>
      </c>
      <c r="C264" s="82" t="s">
        <v>803</v>
      </c>
      <c r="D264" s="81"/>
      <c r="E264" s="3" t="s">
        <v>76</v>
      </c>
      <c r="F264" s="24">
        <v>5</v>
      </c>
      <c r="G264" s="180">
        <v>0</v>
      </c>
      <c r="H264" s="24">
        <f t="shared" si="394"/>
        <v>0</v>
      </c>
      <c r="I264" s="24">
        <f t="shared" si="395"/>
        <v>0</v>
      </c>
      <c r="J264" s="24">
        <f t="shared" si="396"/>
        <v>0</v>
      </c>
      <c r="K264" s="25"/>
      <c r="Z264" s="24">
        <f t="shared" si="397"/>
        <v>0</v>
      </c>
      <c r="AB264" s="24">
        <f t="shared" si="398"/>
        <v>0</v>
      </c>
      <c r="AC264" s="24">
        <f t="shared" si="399"/>
        <v>0</v>
      </c>
      <c r="AD264" s="24">
        <f t="shared" si="400"/>
        <v>0</v>
      </c>
      <c r="AE264" s="24">
        <f t="shared" si="401"/>
        <v>0</v>
      </c>
      <c r="AF264" s="24">
        <f t="shared" si="402"/>
        <v>0</v>
      </c>
      <c r="AG264" s="24">
        <f t="shared" si="403"/>
        <v>0</v>
      </c>
      <c r="AH264" s="24">
        <f t="shared" si="404"/>
        <v>0</v>
      </c>
      <c r="AI264" s="10" t="s">
        <v>43</v>
      </c>
      <c r="AJ264" s="24">
        <f t="shared" si="405"/>
        <v>0</v>
      </c>
      <c r="AK264" s="24">
        <f t="shared" si="406"/>
        <v>0</v>
      </c>
      <c r="AL264" s="24">
        <f t="shared" si="407"/>
        <v>0</v>
      </c>
      <c r="AN264" s="24">
        <v>21</v>
      </c>
      <c r="AO264" s="24">
        <f t="shared" si="408"/>
        <v>0</v>
      </c>
      <c r="AP264" s="24">
        <f t="shared" si="409"/>
        <v>0</v>
      </c>
      <c r="AQ264" s="26" t="s">
        <v>46</v>
      </c>
      <c r="AV264" s="24">
        <f t="shared" si="410"/>
        <v>0</v>
      </c>
      <c r="AW264" s="24">
        <f t="shared" si="411"/>
        <v>0</v>
      </c>
      <c r="AX264" s="24">
        <f t="shared" si="412"/>
        <v>0</v>
      </c>
      <c r="AY264" s="26" t="s">
        <v>800</v>
      </c>
      <c r="AZ264" s="26" t="s">
        <v>651</v>
      </c>
      <c r="BA264" s="10" t="s">
        <v>52</v>
      </c>
      <c r="BC264" s="24">
        <f t="shared" si="413"/>
        <v>0</v>
      </c>
      <c r="BD264" s="24">
        <f t="shared" si="414"/>
        <v>0</v>
      </c>
      <c r="BE264" s="24">
        <v>0</v>
      </c>
      <c r="BF264" s="24">
        <f>261</f>
        <v>261</v>
      </c>
      <c r="BH264" s="24">
        <f t="shared" si="415"/>
        <v>0</v>
      </c>
      <c r="BI264" s="24">
        <f t="shared" si="416"/>
        <v>0</v>
      </c>
      <c r="BJ264" s="24">
        <f t="shared" si="417"/>
        <v>0</v>
      </c>
      <c r="BK264" s="26" t="s">
        <v>53</v>
      </c>
      <c r="BL264" s="24"/>
      <c r="BW264" s="24">
        <v>21</v>
      </c>
      <c r="BX264" s="4" t="s">
        <v>803</v>
      </c>
    </row>
    <row r="265" spans="1:76" ht="26.4" x14ac:dyDescent="0.3">
      <c r="A265" s="2" t="s">
        <v>804</v>
      </c>
      <c r="B265" s="3" t="s">
        <v>805</v>
      </c>
      <c r="C265" s="82" t="s">
        <v>806</v>
      </c>
      <c r="D265" s="81"/>
      <c r="E265" s="3" t="s">
        <v>76</v>
      </c>
      <c r="F265" s="24">
        <v>2</v>
      </c>
      <c r="G265" s="180">
        <v>0</v>
      </c>
      <c r="H265" s="24">
        <f t="shared" si="394"/>
        <v>0</v>
      </c>
      <c r="I265" s="24">
        <f t="shared" si="395"/>
        <v>0</v>
      </c>
      <c r="J265" s="24">
        <f t="shared" si="396"/>
        <v>0</v>
      </c>
      <c r="K265" s="25"/>
      <c r="Z265" s="24">
        <f t="shared" si="397"/>
        <v>0</v>
      </c>
      <c r="AB265" s="24">
        <f t="shared" si="398"/>
        <v>0</v>
      </c>
      <c r="AC265" s="24">
        <f t="shared" si="399"/>
        <v>0</v>
      </c>
      <c r="AD265" s="24">
        <f t="shared" si="400"/>
        <v>0</v>
      </c>
      <c r="AE265" s="24">
        <f t="shared" si="401"/>
        <v>0</v>
      </c>
      <c r="AF265" s="24">
        <f t="shared" si="402"/>
        <v>0</v>
      </c>
      <c r="AG265" s="24">
        <f t="shared" si="403"/>
        <v>0</v>
      </c>
      <c r="AH265" s="24">
        <f t="shared" si="404"/>
        <v>0</v>
      </c>
      <c r="AI265" s="10" t="s">
        <v>43</v>
      </c>
      <c r="AJ265" s="24">
        <f t="shared" si="405"/>
        <v>0</v>
      </c>
      <c r="AK265" s="24">
        <f t="shared" si="406"/>
        <v>0</v>
      </c>
      <c r="AL265" s="24">
        <f t="shared" si="407"/>
        <v>0</v>
      </c>
      <c r="AN265" s="24">
        <v>21</v>
      </c>
      <c r="AO265" s="24">
        <f t="shared" si="408"/>
        <v>0</v>
      </c>
      <c r="AP265" s="24">
        <f t="shared" si="409"/>
        <v>0</v>
      </c>
      <c r="AQ265" s="26" t="s">
        <v>46</v>
      </c>
      <c r="AV265" s="24">
        <f t="shared" si="410"/>
        <v>0</v>
      </c>
      <c r="AW265" s="24">
        <f t="shared" si="411"/>
        <v>0</v>
      </c>
      <c r="AX265" s="24">
        <f t="shared" si="412"/>
        <v>0</v>
      </c>
      <c r="AY265" s="26" t="s">
        <v>800</v>
      </c>
      <c r="AZ265" s="26" t="s">
        <v>651</v>
      </c>
      <c r="BA265" s="10" t="s">
        <v>52</v>
      </c>
      <c r="BC265" s="24">
        <f t="shared" si="413"/>
        <v>0</v>
      </c>
      <c r="BD265" s="24">
        <f t="shared" si="414"/>
        <v>0</v>
      </c>
      <c r="BE265" s="24">
        <v>0</v>
      </c>
      <c r="BF265" s="24">
        <f>262</f>
        <v>262</v>
      </c>
      <c r="BH265" s="24">
        <f t="shared" si="415"/>
        <v>0</v>
      </c>
      <c r="BI265" s="24">
        <f t="shared" si="416"/>
        <v>0</v>
      </c>
      <c r="BJ265" s="24">
        <f t="shared" si="417"/>
        <v>0</v>
      </c>
      <c r="BK265" s="26" t="s">
        <v>53</v>
      </c>
      <c r="BL265" s="24"/>
      <c r="BW265" s="24">
        <v>21</v>
      </c>
      <c r="BX265" s="4" t="s">
        <v>806</v>
      </c>
    </row>
    <row r="266" spans="1:76" ht="14.4" x14ac:dyDescent="0.3">
      <c r="A266" s="2" t="s">
        <v>807</v>
      </c>
      <c r="B266" s="3" t="s">
        <v>808</v>
      </c>
      <c r="C266" s="82" t="s">
        <v>809</v>
      </c>
      <c r="D266" s="81"/>
      <c r="E266" s="3" t="s">
        <v>76</v>
      </c>
      <c r="F266" s="24">
        <v>20</v>
      </c>
      <c r="G266" s="180">
        <v>0</v>
      </c>
      <c r="H266" s="24">
        <f t="shared" si="394"/>
        <v>0</v>
      </c>
      <c r="I266" s="24">
        <f t="shared" si="395"/>
        <v>0</v>
      </c>
      <c r="J266" s="24">
        <f t="shared" si="396"/>
        <v>0</v>
      </c>
      <c r="K266" s="25"/>
      <c r="Z266" s="24">
        <f t="shared" si="397"/>
        <v>0</v>
      </c>
      <c r="AB266" s="24">
        <f t="shared" si="398"/>
        <v>0</v>
      </c>
      <c r="AC266" s="24">
        <f t="shared" si="399"/>
        <v>0</v>
      </c>
      <c r="AD266" s="24">
        <f t="shared" si="400"/>
        <v>0</v>
      </c>
      <c r="AE266" s="24">
        <f t="shared" si="401"/>
        <v>0</v>
      </c>
      <c r="AF266" s="24">
        <f t="shared" si="402"/>
        <v>0</v>
      </c>
      <c r="AG266" s="24">
        <f t="shared" si="403"/>
        <v>0</v>
      </c>
      <c r="AH266" s="24">
        <f t="shared" si="404"/>
        <v>0</v>
      </c>
      <c r="AI266" s="10" t="s">
        <v>43</v>
      </c>
      <c r="AJ266" s="24">
        <f t="shared" si="405"/>
        <v>0</v>
      </c>
      <c r="AK266" s="24">
        <f t="shared" si="406"/>
        <v>0</v>
      </c>
      <c r="AL266" s="24">
        <f t="shared" si="407"/>
        <v>0</v>
      </c>
      <c r="AN266" s="24">
        <v>21</v>
      </c>
      <c r="AO266" s="24">
        <f t="shared" si="408"/>
        <v>0</v>
      </c>
      <c r="AP266" s="24">
        <f t="shared" si="409"/>
        <v>0</v>
      </c>
      <c r="AQ266" s="26" t="s">
        <v>46</v>
      </c>
      <c r="AV266" s="24">
        <f t="shared" si="410"/>
        <v>0</v>
      </c>
      <c r="AW266" s="24">
        <f t="shared" si="411"/>
        <v>0</v>
      </c>
      <c r="AX266" s="24">
        <f t="shared" si="412"/>
        <v>0</v>
      </c>
      <c r="AY266" s="26" t="s">
        <v>800</v>
      </c>
      <c r="AZ266" s="26" t="s">
        <v>651</v>
      </c>
      <c r="BA266" s="10" t="s">
        <v>52</v>
      </c>
      <c r="BC266" s="24">
        <f t="shared" si="413"/>
        <v>0</v>
      </c>
      <c r="BD266" s="24">
        <f t="shared" si="414"/>
        <v>0</v>
      </c>
      <c r="BE266" s="24">
        <v>0</v>
      </c>
      <c r="BF266" s="24">
        <f>263</f>
        <v>263</v>
      </c>
      <c r="BH266" s="24">
        <f t="shared" si="415"/>
        <v>0</v>
      </c>
      <c r="BI266" s="24">
        <f t="shared" si="416"/>
        <v>0</v>
      </c>
      <c r="BJ266" s="24">
        <f t="shared" si="417"/>
        <v>0</v>
      </c>
      <c r="BK266" s="26" t="s">
        <v>53</v>
      </c>
      <c r="BL266" s="24"/>
      <c r="BW266" s="24">
        <v>21</v>
      </c>
      <c r="BX266" s="4" t="s">
        <v>809</v>
      </c>
    </row>
    <row r="267" spans="1:76" ht="14.4" x14ac:dyDescent="0.3">
      <c r="A267" s="2" t="s">
        <v>810</v>
      </c>
      <c r="B267" s="3" t="s">
        <v>811</v>
      </c>
      <c r="C267" s="82" t="s">
        <v>812</v>
      </c>
      <c r="D267" s="81"/>
      <c r="E267" s="3" t="s">
        <v>76</v>
      </c>
      <c r="F267" s="24">
        <v>3</v>
      </c>
      <c r="G267" s="180">
        <v>0</v>
      </c>
      <c r="H267" s="24">
        <f t="shared" si="394"/>
        <v>0</v>
      </c>
      <c r="I267" s="24">
        <f t="shared" si="395"/>
        <v>0</v>
      </c>
      <c r="J267" s="24">
        <f t="shared" si="396"/>
        <v>0</v>
      </c>
      <c r="K267" s="25"/>
      <c r="Z267" s="24">
        <f t="shared" si="397"/>
        <v>0</v>
      </c>
      <c r="AB267" s="24">
        <f t="shared" si="398"/>
        <v>0</v>
      </c>
      <c r="AC267" s="24">
        <f t="shared" si="399"/>
        <v>0</v>
      </c>
      <c r="AD267" s="24">
        <f t="shared" si="400"/>
        <v>0</v>
      </c>
      <c r="AE267" s="24">
        <f t="shared" si="401"/>
        <v>0</v>
      </c>
      <c r="AF267" s="24">
        <f t="shared" si="402"/>
        <v>0</v>
      </c>
      <c r="AG267" s="24">
        <f t="shared" si="403"/>
        <v>0</v>
      </c>
      <c r="AH267" s="24">
        <f t="shared" si="404"/>
        <v>0</v>
      </c>
      <c r="AI267" s="10" t="s">
        <v>43</v>
      </c>
      <c r="AJ267" s="24">
        <f t="shared" si="405"/>
        <v>0</v>
      </c>
      <c r="AK267" s="24">
        <f t="shared" si="406"/>
        <v>0</v>
      </c>
      <c r="AL267" s="24">
        <f t="shared" si="407"/>
        <v>0</v>
      </c>
      <c r="AN267" s="24">
        <v>21</v>
      </c>
      <c r="AO267" s="24">
        <f t="shared" si="408"/>
        <v>0</v>
      </c>
      <c r="AP267" s="24">
        <f t="shared" si="409"/>
        <v>0</v>
      </c>
      <c r="AQ267" s="26" t="s">
        <v>46</v>
      </c>
      <c r="AV267" s="24">
        <f t="shared" si="410"/>
        <v>0</v>
      </c>
      <c r="AW267" s="24">
        <f t="shared" si="411"/>
        <v>0</v>
      </c>
      <c r="AX267" s="24">
        <f t="shared" si="412"/>
        <v>0</v>
      </c>
      <c r="AY267" s="26" t="s">
        <v>800</v>
      </c>
      <c r="AZ267" s="26" t="s">
        <v>651</v>
      </c>
      <c r="BA267" s="10" t="s">
        <v>52</v>
      </c>
      <c r="BC267" s="24">
        <f t="shared" si="413"/>
        <v>0</v>
      </c>
      <c r="BD267" s="24">
        <f t="shared" si="414"/>
        <v>0</v>
      </c>
      <c r="BE267" s="24">
        <v>0</v>
      </c>
      <c r="BF267" s="24">
        <f>264</f>
        <v>264</v>
      </c>
      <c r="BH267" s="24">
        <f t="shared" si="415"/>
        <v>0</v>
      </c>
      <c r="BI267" s="24">
        <f t="shared" si="416"/>
        <v>0</v>
      </c>
      <c r="BJ267" s="24">
        <f t="shared" si="417"/>
        <v>0</v>
      </c>
      <c r="BK267" s="26" t="s">
        <v>53</v>
      </c>
      <c r="BL267" s="24"/>
      <c r="BW267" s="24">
        <v>21</v>
      </c>
      <c r="BX267" s="4" t="s">
        <v>812</v>
      </c>
    </row>
    <row r="268" spans="1:76" ht="14.4" x14ac:dyDescent="0.3">
      <c r="A268" s="2" t="s">
        <v>813</v>
      </c>
      <c r="B268" s="3" t="s">
        <v>814</v>
      </c>
      <c r="C268" s="82" t="s">
        <v>815</v>
      </c>
      <c r="D268" s="81"/>
      <c r="E268" s="3" t="s">
        <v>261</v>
      </c>
      <c r="F268" s="24">
        <v>0.10586</v>
      </c>
      <c r="G268" s="180">
        <v>0</v>
      </c>
      <c r="H268" s="24">
        <f t="shared" si="394"/>
        <v>0</v>
      </c>
      <c r="I268" s="24">
        <f t="shared" si="395"/>
        <v>0</v>
      </c>
      <c r="J268" s="24">
        <f t="shared" si="396"/>
        <v>0</v>
      </c>
      <c r="K268" s="25"/>
      <c r="Z268" s="24">
        <f t="shared" si="397"/>
        <v>0</v>
      </c>
      <c r="AB268" s="24">
        <f t="shared" si="398"/>
        <v>0</v>
      </c>
      <c r="AC268" s="24">
        <f t="shared" si="399"/>
        <v>0</v>
      </c>
      <c r="AD268" s="24">
        <f t="shared" si="400"/>
        <v>0</v>
      </c>
      <c r="AE268" s="24">
        <f t="shared" si="401"/>
        <v>0</v>
      </c>
      <c r="AF268" s="24">
        <f t="shared" si="402"/>
        <v>0</v>
      </c>
      <c r="AG268" s="24">
        <f t="shared" si="403"/>
        <v>0</v>
      </c>
      <c r="AH268" s="24">
        <f t="shared" si="404"/>
        <v>0</v>
      </c>
      <c r="AI268" s="10" t="s">
        <v>43</v>
      </c>
      <c r="AJ268" s="24">
        <f t="shared" si="405"/>
        <v>0</v>
      </c>
      <c r="AK268" s="24">
        <f t="shared" si="406"/>
        <v>0</v>
      </c>
      <c r="AL268" s="24">
        <f t="shared" si="407"/>
        <v>0</v>
      </c>
      <c r="AN268" s="24">
        <v>21</v>
      </c>
      <c r="AO268" s="24">
        <f t="shared" si="408"/>
        <v>0</v>
      </c>
      <c r="AP268" s="24">
        <f t="shared" si="409"/>
        <v>0</v>
      </c>
      <c r="AQ268" s="26" t="s">
        <v>64</v>
      </c>
      <c r="AV268" s="24">
        <f t="shared" si="410"/>
        <v>0</v>
      </c>
      <c r="AW268" s="24">
        <f t="shared" si="411"/>
        <v>0</v>
      </c>
      <c r="AX268" s="24">
        <f t="shared" si="412"/>
        <v>0</v>
      </c>
      <c r="AY268" s="26" t="s">
        <v>800</v>
      </c>
      <c r="AZ268" s="26" t="s">
        <v>651</v>
      </c>
      <c r="BA268" s="10" t="s">
        <v>52</v>
      </c>
      <c r="BC268" s="24">
        <f t="shared" si="413"/>
        <v>0</v>
      </c>
      <c r="BD268" s="24">
        <f t="shared" si="414"/>
        <v>0</v>
      </c>
      <c r="BE268" s="24">
        <v>0</v>
      </c>
      <c r="BF268" s="24">
        <f>265</f>
        <v>265</v>
      </c>
      <c r="BH268" s="24">
        <f t="shared" si="415"/>
        <v>0</v>
      </c>
      <c r="BI268" s="24">
        <f t="shared" si="416"/>
        <v>0</v>
      </c>
      <c r="BJ268" s="24">
        <f t="shared" si="417"/>
        <v>0</v>
      </c>
      <c r="BK268" s="26" t="s">
        <v>53</v>
      </c>
      <c r="BL268" s="24"/>
      <c r="BW268" s="24">
        <v>21</v>
      </c>
      <c r="BX268" s="4" t="s">
        <v>815</v>
      </c>
    </row>
    <row r="269" spans="1:76" ht="14.4" x14ac:dyDescent="0.3">
      <c r="A269" s="2" t="s">
        <v>816</v>
      </c>
      <c r="B269" s="3" t="s">
        <v>817</v>
      </c>
      <c r="C269" s="82" t="s">
        <v>818</v>
      </c>
      <c r="D269" s="81"/>
      <c r="E269" s="3" t="s">
        <v>76</v>
      </c>
      <c r="F269" s="24">
        <v>1</v>
      </c>
      <c r="G269" s="180">
        <v>0</v>
      </c>
      <c r="H269" s="24">
        <f t="shared" si="394"/>
        <v>0</v>
      </c>
      <c r="I269" s="24">
        <f t="shared" si="395"/>
        <v>0</v>
      </c>
      <c r="J269" s="24">
        <f t="shared" si="396"/>
        <v>0</v>
      </c>
      <c r="K269" s="25"/>
      <c r="Z269" s="24">
        <f t="shared" si="397"/>
        <v>0</v>
      </c>
      <c r="AB269" s="24">
        <f t="shared" si="398"/>
        <v>0</v>
      </c>
      <c r="AC269" s="24">
        <f t="shared" si="399"/>
        <v>0</v>
      </c>
      <c r="AD269" s="24">
        <f t="shared" si="400"/>
        <v>0</v>
      </c>
      <c r="AE269" s="24">
        <f t="shared" si="401"/>
        <v>0</v>
      </c>
      <c r="AF269" s="24">
        <f t="shared" si="402"/>
        <v>0</v>
      </c>
      <c r="AG269" s="24">
        <f t="shared" si="403"/>
        <v>0</v>
      </c>
      <c r="AH269" s="24">
        <f t="shared" si="404"/>
        <v>0</v>
      </c>
      <c r="AI269" s="10" t="s">
        <v>43</v>
      </c>
      <c r="AJ269" s="24">
        <f t="shared" si="405"/>
        <v>0</v>
      </c>
      <c r="AK269" s="24">
        <f t="shared" si="406"/>
        <v>0</v>
      </c>
      <c r="AL269" s="24">
        <f t="shared" si="407"/>
        <v>0</v>
      </c>
      <c r="AN269" s="24">
        <v>21</v>
      </c>
      <c r="AO269" s="24">
        <f t="shared" si="408"/>
        <v>0</v>
      </c>
      <c r="AP269" s="24">
        <f t="shared" si="409"/>
        <v>0</v>
      </c>
      <c r="AQ269" s="26" t="s">
        <v>46</v>
      </c>
      <c r="AV269" s="24">
        <f t="shared" si="410"/>
        <v>0</v>
      </c>
      <c r="AW269" s="24">
        <f t="shared" si="411"/>
        <v>0</v>
      </c>
      <c r="AX269" s="24">
        <f t="shared" si="412"/>
        <v>0</v>
      </c>
      <c r="AY269" s="26" t="s">
        <v>800</v>
      </c>
      <c r="AZ269" s="26" t="s">
        <v>651</v>
      </c>
      <c r="BA269" s="10" t="s">
        <v>52</v>
      </c>
      <c r="BC269" s="24">
        <f t="shared" si="413"/>
        <v>0</v>
      </c>
      <c r="BD269" s="24">
        <f t="shared" si="414"/>
        <v>0</v>
      </c>
      <c r="BE269" s="24">
        <v>0</v>
      </c>
      <c r="BF269" s="24">
        <f>266</f>
        <v>266</v>
      </c>
      <c r="BH269" s="24">
        <f t="shared" si="415"/>
        <v>0</v>
      </c>
      <c r="BI269" s="24">
        <f t="shared" si="416"/>
        <v>0</v>
      </c>
      <c r="BJ269" s="24">
        <f t="shared" si="417"/>
        <v>0</v>
      </c>
      <c r="BK269" s="26" t="s">
        <v>53</v>
      </c>
      <c r="BL269" s="24"/>
      <c r="BW269" s="24">
        <v>21</v>
      </c>
      <c r="BX269" s="4" t="s">
        <v>818</v>
      </c>
    </row>
    <row r="270" spans="1:76" ht="14.4" x14ac:dyDescent="0.3">
      <c r="A270" s="2" t="s">
        <v>819</v>
      </c>
      <c r="B270" s="3" t="s">
        <v>820</v>
      </c>
      <c r="C270" s="82" t="s">
        <v>821</v>
      </c>
      <c r="D270" s="81"/>
      <c r="E270" s="3" t="s">
        <v>76</v>
      </c>
      <c r="F270" s="24">
        <v>1</v>
      </c>
      <c r="G270" s="180">
        <v>0</v>
      </c>
      <c r="H270" s="24">
        <f t="shared" si="394"/>
        <v>0</v>
      </c>
      <c r="I270" s="24">
        <f t="shared" si="395"/>
        <v>0</v>
      </c>
      <c r="J270" s="24">
        <f t="shared" si="396"/>
        <v>0</v>
      </c>
      <c r="K270" s="25"/>
      <c r="Z270" s="24">
        <f t="shared" si="397"/>
        <v>0</v>
      </c>
      <c r="AB270" s="24">
        <f t="shared" si="398"/>
        <v>0</v>
      </c>
      <c r="AC270" s="24">
        <f t="shared" si="399"/>
        <v>0</v>
      </c>
      <c r="AD270" s="24">
        <f t="shared" si="400"/>
        <v>0</v>
      </c>
      <c r="AE270" s="24">
        <f t="shared" si="401"/>
        <v>0</v>
      </c>
      <c r="AF270" s="24">
        <f t="shared" si="402"/>
        <v>0</v>
      </c>
      <c r="AG270" s="24">
        <f t="shared" si="403"/>
        <v>0</v>
      </c>
      <c r="AH270" s="24">
        <f t="shared" si="404"/>
        <v>0</v>
      </c>
      <c r="AI270" s="10" t="s">
        <v>43</v>
      </c>
      <c r="AJ270" s="24">
        <f t="shared" si="405"/>
        <v>0</v>
      </c>
      <c r="AK270" s="24">
        <f t="shared" si="406"/>
        <v>0</v>
      </c>
      <c r="AL270" s="24">
        <f t="shared" si="407"/>
        <v>0</v>
      </c>
      <c r="AN270" s="24">
        <v>21</v>
      </c>
      <c r="AO270" s="24">
        <f t="shared" si="408"/>
        <v>0</v>
      </c>
      <c r="AP270" s="24">
        <f t="shared" si="409"/>
        <v>0</v>
      </c>
      <c r="AQ270" s="26" t="s">
        <v>46</v>
      </c>
      <c r="AV270" s="24">
        <f t="shared" si="410"/>
        <v>0</v>
      </c>
      <c r="AW270" s="24">
        <f t="shared" si="411"/>
        <v>0</v>
      </c>
      <c r="AX270" s="24">
        <f t="shared" si="412"/>
        <v>0</v>
      </c>
      <c r="AY270" s="26" t="s">
        <v>800</v>
      </c>
      <c r="AZ270" s="26" t="s">
        <v>651</v>
      </c>
      <c r="BA270" s="10" t="s">
        <v>52</v>
      </c>
      <c r="BC270" s="24">
        <f t="shared" si="413"/>
        <v>0</v>
      </c>
      <c r="BD270" s="24">
        <f t="shared" si="414"/>
        <v>0</v>
      </c>
      <c r="BE270" s="24">
        <v>0</v>
      </c>
      <c r="BF270" s="24">
        <f>267</f>
        <v>267</v>
      </c>
      <c r="BH270" s="24">
        <f t="shared" si="415"/>
        <v>0</v>
      </c>
      <c r="BI270" s="24">
        <f t="shared" si="416"/>
        <v>0</v>
      </c>
      <c r="BJ270" s="24">
        <f t="shared" si="417"/>
        <v>0</v>
      </c>
      <c r="BK270" s="26" t="s">
        <v>53</v>
      </c>
      <c r="BL270" s="24"/>
      <c r="BW270" s="24">
        <v>21</v>
      </c>
      <c r="BX270" s="4" t="s">
        <v>821</v>
      </c>
    </row>
    <row r="271" spans="1:76" ht="14.4" x14ac:dyDescent="0.3">
      <c r="A271" s="2" t="s">
        <v>822</v>
      </c>
      <c r="B271" s="3" t="s">
        <v>823</v>
      </c>
      <c r="C271" s="82" t="s">
        <v>824</v>
      </c>
      <c r="D271" s="81"/>
      <c r="E271" s="3" t="s">
        <v>425</v>
      </c>
      <c r="F271" s="24">
        <v>12</v>
      </c>
      <c r="G271" s="180">
        <v>0</v>
      </c>
      <c r="H271" s="24">
        <f t="shared" si="394"/>
        <v>0</v>
      </c>
      <c r="I271" s="24">
        <f t="shared" si="395"/>
        <v>0</v>
      </c>
      <c r="J271" s="24">
        <f t="shared" si="396"/>
        <v>0</v>
      </c>
      <c r="K271" s="25"/>
      <c r="Z271" s="24">
        <f t="shared" si="397"/>
        <v>0</v>
      </c>
      <c r="AB271" s="24">
        <f t="shared" si="398"/>
        <v>0</v>
      </c>
      <c r="AC271" s="24">
        <f t="shared" si="399"/>
        <v>0</v>
      </c>
      <c r="AD271" s="24">
        <f t="shared" si="400"/>
        <v>0</v>
      </c>
      <c r="AE271" s="24">
        <f t="shared" si="401"/>
        <v>0</v>
      </c>
      <c r="AF271" s="24">
        <f t="shared" si="402"/>
        <v>0</v>
      </c>
      <c r="AG271" s="24">
        <f t="shared" si="403"/>
        <v>0</v>
      </c>
      <c r="AH271" s="24">
        <f t="shared" si="404"/>
        <v>0</v>
      </c>
      <c r="AI271" s="10" t="s">
        <v>43</v>
      </c>
      <c r="AJ271" s="24">
        <f t="shared" si="405"/>
        <v>0</v>
      </c>
      <c r="AK271" s="24">
        <f t="shared" si="406"/>
        <v>0</v>
      </c>
      <c r="AL271" s="24">
        <f t="shared" si="407"/>
        <v>0</v>
      </c>
      <c r="AN271" s="24">
        <v>21</v>
      </c>
      <c r="AO271" s="24">
        <f t="shared" si="408"/>
        <v>0</v>
      </c>
      <c r="AP271" s="24">
        <f t="shared" si="409"/>
        <v>0</v>
      </c>
      <c r="AQ271" s="26" t="s">
        <v>46</v>
      </c>
      <c r="AV271" s="24">
        <f t="shared" si="410"/>
        <v>0</v>
      </c>
      <c r="AW271" s="24">
        <f t="shared" si="411"/>
        <v>0</v>
      </c>
      <c r="AX271" s="24">
        <f t="shared" si="412"/>
        <v>0</v>
      </c>
      <c r="AY271" s="26" t="s">
        <v>800</v>
      </c>
      <c r="AZ271" s="26" t="s">
        <v>651</v>
      </c>
      <c r="BA271" s="10" t="s">
        <v>52</v>
      </c>
      <c r="BC271" s="24">
        <f t="shared" si="413"/>
        <v>0</v>
      </c>
      <c r="BD271" s="24">
        <f t="shared" si="414"/>
        <v>0</v>
      </c>
      <c r="BE271" s="24">
        <v>0</v>
      </c>
      <c r="BF271" s="24">
        <f>268</f>
        <v>268</v>
      </c>
      <c r="BH271" s="24">
        <f t="shared" si="415"/>
        <v>0</v>
      </c>
      <c r="BI271" s="24">
        <f t="shared" si="416"/>
        <v>0</v>
      </c>
      <c r="BJ271" s="24">
        <f t="shared" si="417"/>
        <v>0</v>
      </c>
      <c r="BK271" s="26" t="s">
        <v>53</v>
      </c>
      <c r="BL271" s="24"/>
      <c r="BW271" s="24">
        <v>21</v>
      </c>
      <c r="BX271" s="4" t="s">
        <v>824</v>
      </c>
    </row>
    <row r="272" spans="1:76" ht="14.4" x14ac:dyDescent="0.3">
      <c r="A272" s="2" t="s">
        <v>825</v>
      </c>
      <c r="B272" s="3" t="s">
        <v>826</v>
      </c>
      <c r="C272" s="82" t="s">
        <v>827</v>
      </c>
      <c r="D272" s="81"/>
      <c r="E272" s="3" t="s">
        <v>425</v>
      </c>
      <c r="F272" s="24">
        <v>16</v>
      </c>
      <c r="G272" s="180">
        <v>0</v>
      </c>
      <c r="H272" s="24">
        <f t="shared" si="394"/>
        <v>0</v>
      </c>
      <c r="I272" s="24">
        <f t="shared" si="395"/>
        <v>0</v>
      </c>
      <c r="J272" s="24">
        <f t="shared" si="396"/>
        <v>0</v>
      </c>
      <c r="K272" s="25"/>
      <c r="Z272" s="24">
        <f t="shared" si="397"/>
        <v>0</v>
      </c>
      <c r="AB272" s="24">
        <f t="shared" si="398"/>
        <v>0</v>
      </c>
      <c r="AC272" s="24">
        <f t="shared" si="399"/>
        <v>0</v>
      </c>
      <c r="AD272" s="24">
        <f t="shared" si="400"/>
        <v>0</v>
      </c>
      <c r="AE272" s="24">
        <f t="shared" si="401"/>
        <v>0</v>
      </c>
      <c r="AF272" s="24">
        <f t="shared" si="402"/>
        <v>0</v>
      </c>
      <c r="AG272" s="24">
        <f t="shared" si="403"/>
        <v>0</v>
      </c>
      <c r="AH272" s="24">
        <f t="shared" si="404"/>
        <v>0</v>
      </c>
      <c r="AI272" s="10" t="s">
        <v>43</v>
      </c>
      <c r="AJ272" s="24">
        <f t="shared" si="405"/>
        <v>0</v>
      </c>
      <c r="AK272" s="24">
        <f t="shared" si="406"/>
        <v>0</v>
      </c>
      <c r="AL272" s="24">
        <f t="shared" si="407"/>
        <v>0</v>
      </c>
      <c r="AN272" s="24">
        <v>21</v>
      </c>
      <c r="AO272" s="24">
        <f t="shared" si="408"/>
        <v>0</v>
      </c>
      <c r="AP272" s="24">
        <f t="shared" si="409"/>
        <v>0</v>
      </c>
      <c r="AQ272" s="26" t="s">
        <v>46</v>
      </c>
      <c r="AV272" s="24">
        <f t="shared" si="410"/>
        <v>0</v>
      </c>
      <c r="AW272" s="24">
        <f t="shared" si="411"/>
        <v>0</v>
      </c>
      <c r="AX272" s="24">
        <f t="shared" si="412"/>
        <v>0</v>
      </c>
      <c r="AY272" s="26" t="s">
        <v>800</v>
      </c>
      <c r="AZ272" s="26" t="s">
        <v>651</v>
      </c>
      <c r="BA272" s="10" t="s">
        <v>52</v>
      </c>
      <c r="BC272" s="24">
        <f t="shared" si="413"/>
        <v>0</v>
      </c>
      <c r="BD272" s="24">
        <f t="shared" si="414"/>
        <v>0</v>
      </c>
      <c r="BE272" s="24">
        <v>0</v>
      </c>
      <c r="BF272" s="24">
        <f>269</f>
        <v>269</v>
      </c>
      <c r="BH272" s="24">
        <f t="shared" si="415"/>
        <v>0</v>
      </c>
      <c r="BI272" s="24">
        <f t="shared" si="416"/>
        <v>0</v>
      </c>
      <c r="BJ272" s="24">
        <f t="shared" si="417"/>
        <v>0</v>
      </c>
      <c r="BK272" s="26" t="s">
        <v>53</v>
      </c>
      <c r="BL272" s="24"/>
      <c r="BW272" s="24">
        <v>21</v>
      </c>
      <c r="BX272" s="4" t="s">
        <v>827</v>
      </c>
    </row>
    <row r="273" spans="1:76" ht="14.4" x14ac:dyDescent="0.3">
      <c r="A273" s="27" t="s">
        <v>43</v>
      </c>
      <c r="B273" s="28" t="s">
        <v>828</v>
      </c>
      <c r="C273" s="98" t="s">
        <v>829</v>
      </c>
      <c r="D273" s="99"/>
      <c r="E273" s="29" t="s">
        <v>3</v>
      </c>
      <c r="F273" s="29" t="s">
        <v>3</v>
      </c>
      <c r="G273" s="29" t="s">
        <v>3</v>
      </c>
      <c r="H273" s="1">
        <f>ROUND(SUM(H274:H327),2)</f>
        <v>0</v>
      </c>
      <c r="I273" s="1">
        <f>ROUND(SUM(I274:I327),2)</f>
        <v>0</v>
      </c>
      <c r="J273" s="1">
        <f>ROUND(SUM(J274:J327),2)</f>
        <v>0</v>
      </c>
      <c r="K273" s="30"/>
      <c r="AI273" s="10" t="s">
        <v>43</v>
      </c>
      <c r="AS273" s="1">
        <f>SUM(AJ274:AJ327)</f>
        <v>0</v>
      </c>
      <c r="AT273" s="1">
        <f>SUM(AK274:AK327)</f>
        <v>0</v>
      </c>
      <c r="AU273" s="1">
        <f>SUM(AL274:AL327)</f>
        <v>0</v>
      </c>
    </row>
    <row r="274" spans="1:76" ht="26.4" x14ac:dyDescent="0.3">
      <c r="A274" s="2" t="s">
        <v>830</v>
      </c>
      <c r="B274" s="3" t="s">
        <v>831</v>
      </c>
      <c r="C274" s="82" t="s">
        <v>832</v>
      </c>
      <c r="D274" s="81"/>
      <c r="E274" s="3" t="s">
        <v>174</v>
      </c>
      <c r="F274" s="24">
        <v>1</v>
      </c>
      <c r="G274" s="180">
        <v>0</v>
      </c>
      <c r="H274" s="24">
        <f t="shared" ref="H274:H305" si="418">ROUND(F274*AO274,2)</f>
        <v>0</v>
      </c>
      <c r="I274" s="24">
        <f t="shared" ref="I274:I305" si="419">ROUND(F274*AP274,2)</f>
        <v>0</v>
      </c>
      <c r="J274" s="24">
        <f t="shared" ref="J274:J305" si="420">ROUND(F274*G274,2)</f>
        <v>0</v>
      </c>
      <c r="K274" s="25"/>
      <c r="Z274" s="24">
        <f t="shared" ref="Z274:Z305" si="421">ROUND(IF(AQ274="5",BJ274,0),2)</f>
        <v>0</v>
      </c>
      <c r="AB274" s="24">
        <f t="shared" ref="AB274:AB305" si="422">ROUND(IF(AQ274="1",BH274,0),2)</f>
        <v>0</v>
      </c>
      <c r="AC274" s="24">
        <f t="shared" ref="AC274:AC305" si="423">ROUND(IF(AQ274="1",BI274,0),2)</f>
        <v>0</v>
      </c>
      <c r="AD274" s="24">
        <f t="shared" ref="AD274:AD305" si="424">ROUND(IF(AQ274="7",BH274,0),2)</f>
        <v>0</v>
      </c>
      <c r="AE274" s="24">
        <f t="shared" ref="AE274:AE305" si="425">ROUND(IF(AQ274="7",BI274,0),2)</f>
        <v>0</v>
      </c>
      <c r="AF274" s="24">
        <f t="shared" ref="AF274:AF305" si="426">ROUND(IF(AQ274="2",BH274,0),2)</f>
        <v>0</v>
      </c>
      <c r="AG274" s="24">
        <f t="shared" ref="AG274:AG305" si="427">ROUND(IF(AQ274="2",BI274,0),2)</f>
        <v>0</v>
      </c>
      <c r="AH274" s="24">
        <f t="shared" ref="AH274:AH305" si="428">ROUND(IF(AQ274="0",BJ274,0),2)</f>
        <v>0</v>
      </c>
      <c r="AI274" s="10" t="s">
        <v>43</v>
      </c>
      <c r="AJ274" s="24">
        <f t="shared" ref="AJ274:AJ305" si="429">IF(AN274=0,J274,0)</f>
        <v>0</v>
      </c>
      <c r="AK274" s="24">
        <f t="shared" ref="AK274:AK305" si="430">IF(AN274=12,J274,0)</f>
        <v>0</v>
      </c>
      <c r="AL274" s="24">
        <f t="shared" ref="AL274:AL305" si="431">IF(AN274=21,J274,0)</f>
        <v>0</v>
      </c>
      <c r="AN274" s="24">
        <v>21</v>
      </c>
      <c r="AO274" s="24">
        <f t="shared" ref="AO274:AO305" si="432">G274*0</f>
        <v>0</v>
      </c>
      <c r="AP274" s="24">
        <f t="shared" ref="AP274:AP305" si="433">G274*(1-0)</f>
        <v>0</v>
      </c>
      <c r="AQ274" s="26" t="s">
        <v>46</v>
      </c>
      <c r="AV274" s="24">
        <f t="shared" ref="AV274:AV305" si="434">ROUND(AW274+AX274,2)</f>
        <v>0</v>
      </c>
      <c r="AW274" s="24">
        <f t="shared" ref="AW274:AW305" si="435">ROUND(F274*AO274,2)</f>
        <v>0</v>
      </c>
      <c r="AX274" s="24">
        <f t="shared" ref="AX274:AX305" si="436">ROUND(F274*AP274,2)</f>
        <v>0</v>
      </c>
      <c r="AY274" s="26" t="s">
        <v>833</v>
      </c>
      <c r="AZ274" s="26" t="s">
        <v>427</v>
      </c>
      <c r="BA274" s="10" t="s">
        <v>52</v>
      </c>
      <c r="BC274" s="24">
        <f t="shared" ref="BC274:BC305" si="437">AW274+AX274</f>
        <v>0</v>
      </c>
      <c r="BD274" s="24">
        <f t="shared" ref="BD274:BD305" si="438">G274/(100-BE274)*100</f>
        <v>0</v>
      </c>
      <c r="BE274" s="24">
        <v>0</v>
      </c>
      <c r="BF274" s="24">
        <f>271</f>
        <v>271</v>
      </c>
      <c r="BH274" s="24">
        <f t="shared" ref="BH274:BH305" si="439">F274*AO274</f>
        <v>0</v>
      </c>
      <c r="BI274" s="24">
        <f t="shared" ref="BI274:BI305" si="440">F274*AP274</f>
        <v>0</v>
      </c>
      <c r="BJ274" s="24">
        <f t="shared" ref="BJ274:BJ305" si="441">F274*G274</f>
        <v>0</v>
      </c>
      <c r="BK274" s="26" t="s">
        <v>53</v>
      </c>
      <c r="BL274" s="24"/>
      <c r="BW274" s="24">
        <v>21</v>
      </c>
      <c r="BX274" s="4" t="s">
        <v>832</v>
      </c>
    </row>
    <row r="275" spans="1:76" ht="14.4" x14ac:dyDescent="0.3">
      <c r="A275" s="2" t="s">
        <v>834</v>
      </c>
      <c r="B275" s="3" t="s">
        <v>831</v>
      </c>
      <c r="C275" s="82" t="s">
        <v>835</v>
      </c>
      <c r="D275" s="81"/>
      <c r="E275" s="3" t="s">
        <v>174</v>
      </c>
      <c r="F275" s="24">
        <v>1</v>
      </c>
      <c r="G275" s="180">
        <v>0</v>
      </c>
      <c r="H275" s="24">
        <f t="shared" si="418"/>
        <v>0</v>
      </c>
      <c r="I275" s="24">
        <f t="shared" si="419"/>
        <v>0</v>
      </c>
      <c r="J275" s="24">
        <f t="shared" si="420"/>
        <v>0</v>
      </c>
      <c r="K275" s="25"/>
      <c r="Z275" s="24">
        <f t="shared" si="421"/>
        <v>0</v>
      </c>
      <c r="AB275" s="24">
        <f t="shared" si="422"/>
        <v>0</v>
      </c>
      <c r="AC275" s="24">
        <f t="shared" si="423"/>
        <v>0</v>
      </c>
      <c r="AD275" s="24">
        <f t="shared" si="424"/>
        <v>0</v>
      </c>
      <c r="AE275" s="24">
        <f t="shared" si="425"/>
        <v>0</v>
      </c>
      <c r="AF275" s="24">
        <f t="shared" si="426"/>
        <v>0</v>
      </c>
      <c r="AG275" s="24">
        <f t="shared" si="427"/>
        <v>0</v>
      </c>
      <c r="AH275" s="24">
        <f t="shared" si="428"/>
        <v>0</v>
      </c>
      <c r="AI275" s="10" t="s">
        <v>43</v>
      </c>
      <c r="AJ275" s="24">
        <f t="shared" si="429"/>
        <v>0</v>
      </c>
      <c r="AK275" s="24">
        <f t="shared" si="430"/>
        <v>0</v>
      </c>
      <c r="AL275" s="24">
        <f t="shared" si="431"/>
        <v>0</v>
      </c>
      <c r="AN275" s="24">
        <v>21</v>
      </c>
      <c r="AO275" s="24">
        <f t="shared" si="432"/>
        <v>0</v>
      </c>
      <c r="AP275" s="24">
        <f t="shared" si="433"/>
        <v>0</v>
      </c>
      <c r="AQ275" s="26" t="s">
        <v>46</v>
      </c>
      <c r="AV275" s="24">
        <f t="shared" si="434"/>
        <v>0</v>
      </c>
      <c r="AW275" s="24">
        <f t="shared" si="435"/>
        <v>0</v>
      </c>
      <c r="AX275" s="24">
        <f t="shared" si="436"/>
        <v>0</v>
      </c>
      <c r="AY275" s="26" t="s">
        <v>833</v>
      </c>
      <c r="AZ275" s="26" t="s">
        <v>427</v>
      </c>
      <c r="BA275" s="10" t="s">
        <v>52</v>
      </c>
      <c r="BC275" s="24">
        <f t="shared" si="437"/>
        <v>0</v>
      </c>
      <c r="BD275" s="24">
        <f t="shared" si="438"/>
        <v>0</v>
      </c>
      <c r="BE275" s="24">
        <v>0</v>
      </c>
      <c r="BF275" s="24">
        <f>272</f>
        <v>272</v>
      </c>
      <c r="BH275" s="24">
        <f t="shared" si="439"/>
        <v>0</v>
      </c>
      <c r="BI275" s="24">
        <f t="shared" si="440"/>
        <v>0</v>
      </c>
      <c r="BJ275" s="24">
        <f t="shared" si="441"/>
        <v>0</v>
      </c>
      <c r="BK275" s="26" t="s">
        <v>53</v>
      </c>
      <c r="BL275" s="24"/>
      <c r="BW275" s="24">
        <v>21</v>
      </c>
      <c r="BX275" s="4" t="s">
        <v>835</v>
      </c>
    </row>
    <row r="276" spans="1:76" ht="14.4" x14ac:dyDescent="0.3">
      <c r="A276" s="2" t="s">
        <v>836</v>
      </c>
      <c r="B276" s="3" t="s">
        <v>831</v>
      </c>
      <c r="C276" s="82" t="s">
        <v>837</v>
      </c>
      <c r="D276" s="81"/>
      <c r="E276" s="3" t="s">
        <v>174</v>
      </c>
      <c r="F276" s="24">
        <v>5</v>
      </c>
      <c r="G276" s="180">
        <v>0</v>
      </c>
      <c r="H276" s="24">
        <f t="shared" si="418"/>
        <v>0</v>
      </c>
      <c r="I276" s="24">
        <f t="shared" si="419"/>
        <v>0</v>
      </c>
      <c r="J276" s="24">
        <f t="shared" si="420"/>
        <v>0</v>
      </c>
      <c r="K276" s="25"/>
      <c r="Z276" s="24">
        <f t="shared" si="421"/>
        <v>0</v>
      </c>
      <c r="AB276" s="24">
        <f t="shared" si="422"/>
        <v>0</v>
      </c>
      <c r="AC276" s="24">
        <f t="shared" si="423"/>
        <v>0</v>
      </c>
      <c r="AD276" s="24">
        <f t="shared" si="424"/>
        <v>0</v>
      </c>
      <c r="AE276" s="24">
        <f t="shared" si="425"/>
        <v>0</v>
      </c>
      <c r="AF276" s="24">
        <f t="shared" si="426"/>
        <v>0</v>
      </c>
      <c r="AG276" s="24">
        <f t="shared" si="427"/>
        <v>0</v>
      </c>
      <c r="AH276" s="24">
        <f t="shared" si="428"/>
        <v>0</v>
      </c>
      <c r="AI276" s="10" t="s">
        <v>43</v>
      </c>
      <c r="AJ276" s="24">
        <f t="shared" si="429"/>
        <v>0</v>
      </c>
      <c r="AK276" s="24">
        <f t="shared" si="430"/>
        <v>0</v>
      </c>
      <c r="AL276" s="24">
        <f t="shared" si="431"/>
        <v>0</v>
      </c>
      <c r="AN276" s="24">
        <v>21</v>
      </c>
      <c r="AO276" s="24">
        <f t="shared" si="432"/>
        <v>0</v>
      </c>
      <c r="AP276" s="24">
        <f t="shared" si="433"/>
        <v>0</v>
      </c>
      <c r="AQ276" s="26" t="s">
        <v>46</v>
      </c>
      <c r="AV276" s="24">
        <f t="shared" si="434"/>
        <v>0</v>
      </c>
      <c r="AW276" s="24">
        <f t="shared" si="435"/>
        <v>0</v>
      </c>
      <c r="AX276" s="24">
        <f t="shared" si="436"/>
        <v>0</v>
      </c>
      <c r="AY276" s="26" t="s">
        <v>833</v>
      </c>
      <c r="AZ276" s="26" t="s">
        <v>427</v>
      </c>
      <c r="BA276" s="10" t="s">
        <v>52</v>
      </c>
      <c r="BC276" s="24">
        <f t="shared" si="437"/>
        <v>0</v>
      </c>
      <c r="BD276" s="24">
        <f t="shared" si="438"/>
        <v>0</v>
      </c>
      <c r="BE276" s="24">
        <v>0</v>
      </c>
      <c r="BF276" s="24">
        <f>273</f>
        <v>273</v>
      </c>
      <c r="BH276" s="24">
        <f t="shared" si="439"/>
        <v>0</v>
      </c>
      <c r="BI276" s="24">
        <f t="shared" si="440"/>
        <v>0</v>
      </c>
      <c r="BJ276" s="24">
        <f t="shared" si="441"/>
        <v>0</v>
      </c>
      <c r="BK276" s="26" t="s">
        <v>53</v>
      </c>
      <c r="BL276" s="24"/>
      <c r="BW276" s="24">
        <v>21</v>
      </c>
      <c r="BX276" s="4" t="s">
        <v>837</v>
      </c>
    </row>
    <row r="277" spans="1:76" ht="14.4" x14ac:dyDescent="0.3">
      <c r="A277" s="2" t="s">
        <v>838</v>
      </c>
      <c r="B277" s="3" t="s">
        <v>831</v>
      </c>
      <c r="C277" s="82" t="s">
        <v>839</v>
      </c>
      <c r="D277" s="81"/>
      <c r="E277" s="3" t="s">
        <v>174</v>
      </c>
      <c r="F277" s="24">
        <v>1</v>
      </c>
      <c r="G277" s="180">
        <v>0</v>
      </c>
      <c r="H277" s="24">
        <f t="shared" si="418"/>
        <v>0</v>
      </c>
      <c r="I277" s="24">
        <f t="shared" si="419"/>
        <v>0</v>
      </c>
      <c r="J277" s="24">
        <f t="shared" si="420"/>
        <v>0</v>
      </c>
      <c r="K277" s="25"/>
      <c r="Z277" s="24">
        <f t="shared" si="421"/>
        <v>0</v>
      </c>
      <c r="AB277" s="24">
        <f t="shared" si="422"/>
        <v>0</v>
      </c>
      <c r="AC277" s="24">
        <f t="shared" si="423"/>
        <v>0</v>
      </c>
      <c r="AD277" s="24">
        <f t="shared" si="424"/>
        <v>0</v>
      </c>
      <c r="AE277" s="24">
        <f t="shared" si="425"/>
        <v>0</v>
      </c>
      <c r="AF277" s="24">
        <f t="shared" si="426"/>
        <v>0</v>
      </c>
      <c r="AG277" s="24">
        <f t="shared" si="427"/>
        <v>0</v>
      </c>
      <c r="AH277" s="24">
        <f t="shared" si="428"/>
        <v>0</v>
      </c>
      <c r="AI277" s="10" t="s">
        <v>43</v>
      </c>
      <c r="AJ277" s="24">
        <f t="shared" si="429"/>
        <v>0</v>
      </c>
      <c r="AK277" s="24">
        <f t="shared" si="430"/>
        <v>0</v>
      </c>
      <c r="AL277" s="24">
        <f t="shared" si="431"/>
        <v>0</v>
      </c>
      <c r="AN277" s="24">
        <v>21</v>
      </c>
      <c r="AO277" s="24">
        <f t="shared" si="432"/>
        <v>0</v>
      </c>
      <c r="AP277" s="24">
        <f t="shared" si="433"/>
        <v>0</v>
      </c>
      <c r="AQ277" s="26" t="s">
        <v>46</v>
      </c>
      <c r="AV277" s="24">
        <f t="shared" si="434"/>
        <v>0</v>
      </c>
      <c r="AW277" s="24">
        <f t="shared" si="435"/>
        <v>0</v>
      </c>
      <c r="AX277" s="24">
        <f t="shared" si="436"/>
        <v>0</v>
      </c>
      <c r="AY277" s="26" t="s">
        <v>833</v>
      </c>
      <c r="AZ277" s="26" t="s">
        <v>427</v>
      </c>
      <c r="BA277" s="10" t="s">
        <v>52</v>
      </c>
      <c r="BC277" s="24">
        <f t="shared" si="437"/>
        <v>0</v>
      </c>
      <c r="BD277" s="24">
        <f t="shared" si="438"/>
        <v>0</v>
      </c>
      <c r="BE277" s="24">
        <v>0</v>
      </c>
      <c r="BF277" s="24">
        <f>274</f>
        <v>274</v>
      </c>
      <c r="BH277" s="24">
        <f t="shared" si="439"/>
        <v>0</v>
      </c>
      <c r="BI277" s="24">
        <f t="shared" si="440"/>
        <v>0</v>
      </c>
      <c r="BJ277" s="24">
        <f t="shared" si="441"/>
        <v>0</v>
      </c>
      <c r="BK277" s="26" t="s">
        <v>53</v>
      </c>
      <c r="BL277" s="24"/>
      <c r="BW277" s="24">
        <v>21</v>
      </c>
      <c r="BX277" s="4" t="s">
        <v>839</v>
      </c>
    </row>
    <row r="278" spans="1:76" ht="14.4" x14ac:dyDescent="0.3">
      <c r="A278" s="2" t="s">
        <v>840</v>
      </c>
      <c r="B278" s="3" t="s">
        <v>831</v>
      </c>
      <c r="C278" s="82" t="s">
        <v>841</v>
      </c>
      <c r="D278" s="81"/>
      <c r="E278" s="3" t="s">
        <v>174</v>
      </c>
      <c r="F278" s="24">
        <v>3</v>
      </c>
      <c r="G278" s="180">
        <v>0</v>
      </c>
      <c r="H278" s="24">
        <f t="shared" si="418"/>
        <v>0</v>
      </c>
      <c r="I278" s="24">
        <f t="shared" si="419"/>
        <v>0</v>
      </c>
      <c r="J278" s="24">
        <f t="shared" si="420"/>
        <v>0</v>
      </c>
      <c r="K278" s="25"/>
      <c r="Z278" s="24">
        <f t="shared" si="421"/>
        <v>0</v>
      </c>
      <c r="AB278" s="24">
        <f t="shared" si="422"/>
        <v>0</v>
      </c>
      <c r="AC278" s="24">
        <f t="shared" si="423"/>
        <v>0</v>
      </c>
      <c r="AD278" s="24">
        <f t="shared" si="424"/>
        <v>0</v>
      </c>
      <c r="AE278" s="24">
        <f t="shared" si="425"/>
        <v>0</v>
      </c>
      <c r="AF278" s="24">
        <f t="shared" si="426"/>
        <v>0</v>
      </c>
      <c r="AG278" s="24">
        <f t="shared" si="427"/>
        <v>0</v>
      </c>
      <c r="AH278" s="24">
        <f t="shared" si="428"/>
        <v>0</v>
      </c>
      <c r="AI278" s="10" t="s">
        <v>43</v>
      </c>
      <c r="AJ278" s="24">
        <f t="shared" si="429"/>
        <v>0</v>
      </c>
      <c r="AK278" s="24">
        <f t="shared" si="430"/>
        <v>0</v>
      </c>
      <c r="AL278" s="24">
        <f t="shared" si="431"/>
        <v>0</v>
      </c>
      <c r="AN278" s="24">
        <v>21</v>
      </c>
      <c r="AO278" s="24">
        <f t="shared" si="432"/>
        <v>0</v>
      </c>
      <c r="AP278" s="24">
        <f t="shared" si="433"/>
        <v>0</v>
      </c>
      <c r="AQ278" s="26" t="s">
        <v>46</v>
      </c>
      <c r="AV278" s="24">
        <f t="shared" si="434"/>
        <v>0</v>
      </c>
      <c r="AW278" s="24">
        <f t="shared" si="435"/>
        <v>0</v>
      </c>
      <c r="AX278" s="24">
        <f t="shared" si="436"/>
        <v>0</v>
      </c>
      <c r="AY278" s="26" t="s">
        <v>833</v>
      </c>
      <c r="AZ278" s="26" t="s">
        <v>427</v>
      </c>
      <c r="BA278" s="10" t="s">
        <v>52</v>
      </c>
      <c r="BC278" s="24">
        <f t="shared" si="437"/>
        <v>0</v>
      </c>
      <c r="BD278" s="24">
        <f t="shared" si="438"/>
        <v>0</v>
      </c>
      <c r="BE278" s="24">
        <v>0</v>
      </c>
      <c r="BF278" s="24">
        <f>275</f>
        <v>275</v>
      </c>
      <c r="BH278" s="24">
        <f t="shared" si="439"/>
        <v>0</v>
      </c>
      <c r="BI278" s="24">
        <f t="shared" si="440"/>
        <v>0</v>
      </c>
      <c r="BJ278" s="24">
        <f t="shared" si="441"/>
        <v>0</v>
      </c>
      <c r="BK278" s="26" t="s">
        <v>53</v>
      </c>
      <c r="BL278" s="24"/>
      <c r="BW278" s="24">
        <v>21</v>
      </c>
      <c r="BX278" s="4" t="s">
        <v>841</v>
      </c>
    </row>
    <row r="279" spans="1:76" ht="26.4" x14ac:dyDescent="0.3">
      <c r="A279" s="2" t="s">
        <v>842</v>
      </c>
      <c r="B279" s="3" t="s">
        <v>831</v>
      </c>
      <c r="C279" s="82" t="s">
        <v>843</v>
      </c>
      <c r="D279" s="81"/>
      <c r="E279" s="3" t="s">
        <v>174</v>
      </c>
      <c r="F279" s="24">
        <v>11</v>
      </c>
      <c r="G279" s="180">
        <v>0</v>
      </c>
      <c r="H279" s="24">
        <f t="shared" si="418"/>
        <v>0</v>
      </c>
      <c r="I279" s="24">
        <f t="shared" si="419"/>
        <v>0</v>
      </c>
      <c r="J279" s="24">
        <f t="shared" si="420"/>
        <v>0</v>
      </c>
      <c r="K279" s="25"/>
      <c r="Z279" s="24">
        <f t="shared" si="421"/>
        <v>0</v>
      </c>
      <c r="AB279" s="24">
        <f t="shared" si="422"/>
        <v>0</v>
      </c>
      <c r="AC279" s="24">
        <f t="shared" si="423"/>
        <v>0</v>
      </c>
      <c r="AD279" s="24">
        <f t="shared" si="424"/>
        <v>0</v>
      </c>
      <c r="AE279" s="24">
        <f t="shared" si="425"/>
        <v>0</v>
      </c>
      <c r="AF279" s="24">
        <f t="shared" si="426"/>
        <v>0</v>
      </c>
      <c r="AG279" s="24">
        <f t="shared" si="427"/>
        <v>0</v>
      </c>
      <c r="AH279" s="24">
        <f t="shared" si="428"/>
        <v>0</v>
      </c>
      <c r="AI279" s="10" t="s">
        <v>43</v>
      </c>
      <c r="AJ279" s="24">
        <f t="shared" si="429"/>
        <v>0</v>
      </c>
      <c r="AK279" s="24">
        <f t="shared" si="430"/>
        <v>0</v>
      </c>
      <c r="AL279" s="24">
        <f t="shared" si="431"/>
        <v>0</v>
      </c>
      <c r="AN279" s="24">
        <v>21</v>
      </c>
      <c r="AO279" s="24">
        <f t="shared" si="432"/>
        <v>0</v>
      </c>
      <c r="AP279" s="24">
        <f t="shared" si="433"/>
        <v>0</v>
      </c>
      <c r="AQ279" s="26" t="s">
        <v>46</v>
      </c>
      <c r="AV279" s="24">
        <f t="shared" si="434"/>
        <v>0</v>
      </c>
      <c r="AW279" s="24">
        <f t="shared" si="435"/>
        <v>0</v>
      </c>
      <c r="AX279" s="24">
        <f t="shared" si="436"/>
        <v>0</v>
      </c>
      <c r="AY279" s="26" t="s">
        <v>833</v>
      </c>
      <c r="AZ279" s="26" t="s">
        <v>427</v>
      </c>
      <c r="BA279" s="10" t="s">
        <v>52</v>
      </c>
      <c r="BC279" s="24">
        <f t="shared" si="437"/>
        <v>0</v>
      </c>
      <c r="BD279" s="24">
        <f t="shared" si="438"/>
        <v>0</v>
      </c>
      <c r="BE279" s="24">
        <v>0</v>
      </c>
      <c r="BF279" s="24">
        <f>276</f>
        <v>276</v>
      </c>
      <c r="BH279" s="24">
        <f t="shared" si="439"/>
        <v>0</v>
      </c>
      <c r="BI279" s="24">
        <f t="shared" si="440"/>
        <v>0</v>
      </c>
      <c r="BJ279" s="24">
        <f t="shared" si="441"/>
        <v>0</v>
      </c>
      <c r="BK279" s="26" t="s">
        <v>53</v>
      </c>
      <c r="BL279" s="24"/>
      <c r="BW279" s="24">
        <v>21</v>
      </c>
      <c r="BX279" s="4" t="s">
        <v>843</v>
      </c>
    </row>
    <row r="280" spans="1:76" ht="14.4" x14ac:dyDescent="0.3">
      <c r="A280" s="2" t="s">
        <v>844</v>
      </c>
      <c r="B280" s="3" t="s">
        <v>831</v>
      </c>
      <c r="C280" s="82" t="s">
        <v>845</v>
      </c>
      <c r="D280" s="81"/>
      <c r="E280" s="3" t="s">
        <v>174</v>
      </c>
      <c r="F280" s="24">
        <v>65</v>
      </c>
      <c r="G280" s="180">
        <v>0</v>
      </c>
      <c r="H280" s="24">
        <f t="shared" si="418"/>
        <v>0</v>
      </c>
      <c r="I280" s="24">
        <f t="shared" si="419"/>
        <v>0</v>
      </c>
      <c r="J280" s="24">
        <f t="shared" si="420"/>
        <v>0</v>
      </c>
      <c r="K280" s="25"/>
      <c r="Z280" s="24">
        <f t="shared" si="421"/>
        <v>0</v>
      </c>
      <c r="AB280" s="24">
        <f t="shared" si="422"/>
        <v>0</v>
      </c>
      <c r="AC280" s="24">
        <f t="shared" si="423"/>
        <v>0</v>
      </c>
      <c r="AD280" s="24">
        <f t="shared" si="424"/>
        <v>0</v>
      </c>
      <c r="AE280" s="24">
        <f t="shared" si="425"/>
        <v>0</v>
      </c>
      <c r="AF280" s="24">
        <f t="shared" si="426"/>
        <v>0</v>
      </c>
      <c r="AG280" s="24">
        <f t="shared" si="427"/>
        <v>0</v>
      </c>
      <c r="AH280" s="24">
        <f t="shared" si="428"/>
        <v>0</v>
      </c>
      <c r="AI280" s="10" t="s">
        <v>43</v>
      </c>
      <c r="AJ280" s="24">
        <f t="shared" si="429"/>
        <v>0</v>
      </c>
      <c r="AK280" s="24">
        <f t="shared" si="430"/>
        <v>0</v>
      </c>
      <c r="AL280" s="24">
        <f t="shared" si="431"/>
        <v>0</v>
      </c>
      <c r="AN280" s="24">
        <v>21</v>
      </c>
      <c r="AO280" s="24">
        <f t="shared" si="432"/>
        <v>0</v>
      </c>
      <c r="AP280" s="24">
        <f t="shared" si="433"/>
        <v>0</v>
      </c>
      <c r="AQ280" s="26" t="s">
        <v>46</v>
      </c>
      <c r="AV280" s="24">
        <f t="shared" si="434"/>
        <v>0</v>
      </c>
      <c r="AW280" s="24">
        <f t="shared" si="435"/>
        <v>0</v>
      </c>
      <c r="AX280" s="24">
        <f t="shared" si="436"/>
        <v>0</v>
      </c>
      <c r="AY280" s="26" t="s">
        <v>833</v>
      </c>
      <c r="AZ280" s="26" t="s">
        <v>427</v>
      </c>
      <c r="BA280" s="10" t="s">
        <v>52</v>
      </c>
      <c r="BC280" s="24">
        <f t="shared" si="437"/>
        <v>0</v>
      </c>
      <c r="BD280" s="24">
        <f t="shared" si="438"/>
        <v>0</v>
      </c>
      <c r="BE280" s="24">
        <v>0</v>
      </c>
      <c r="BF280" s="24">
        <f>277</f>
        <v>277</v>
      </c>
      <c r="BH280" s="24">
        <f t="shared" si="439"/>
        <v>0</v>
      </c>
      <c r="BI280" s="24">
        <f t="shared" si="440"/>
        <v>0</v>
      </c>
      <c r="BJ280" s="24">
        <f t="shared" si="441"/>
        <v>0</v>
      </c>
      <c r="BK280" s="26" t="s">
        <v>53</v>
      </c>
      <c r="BL280" s="24"/>
      <c r="BW280" s="24">
        <v>21</v>
      </c>
      <c r="BX280" s="4" t="s">
        <v>845</v>
      </c>
    </row>
    <row r="281" spans="1:76" ht="14.4" x14ac:dyDescent="0.3">
      <c r="A281" s="2" t="s">
        <v>846</v>
      </c>
      <c r="B281" s="3" t="s">
        <v>831</v>
      </c>
      <c r="C281" s="82" t="s">
        <v>847</v>
      </c>
      <c r="D281" s="81"/>
      <c r="E281" s="3" t="s">
        <v>91</v>
      </c>
      <c r="F281" s="24">
        <v>390</v>
      </c>
      <c r="G281" s="180">
        <v>0</v>
      </c>
      <c r="H281" s="24">
        <f t="shared" si="418"/>
        <v>0</v>
      </c>
      <c r="I281" s="24">
        <f t="shared" si="419"/>
        <v>0</v>
      </c>
      <c r="J281" s="24">
        <f t="shared" si="420"/>
        <v>0</v>
      </c>
      <c r="K281" s="25"/>
      <c r="Z281" s="24">
        <f t="shared" si="421"/>
        <v>0</v>
      </c>
      <c r="AB281" s="24">
        <f t="shared" si="422"/>
        <v>0</v>
      </c>
      <c r="AC281" s="24">
        <f t="shared" si="423"/>
        <v>0</v>
      </c>
      <c r="AD281" s="24">
        <f t="shared" si="424"/>
        <v>0</v>
      </c>
      <c r="AE281" s="24">
        <f t="shared" si="425"/>
        <v>0</v>
      </c>
      <c r="AF281" s="24">
        <f t="shared" si="426"/>
        <v>0</v>
      </c>
      <c r="AG281" s="24">
        <f t="shared" si="427"/>
        <v>0</v>
      </c>
      <c r="AH281" s="24">
        <f t="shared" si="428"/>
        <v>0</v>
      </c>
      <c r="AI281" s="10" t="s">
        <v>43</v>
      </c>
      <c r="AJ281" s="24">
        <f t="shared" si="429"/>
        <v>0</v>
      </c>
      <c r="AK281" s="24">
        <f t="shared" si="430"/>
        <v>0</v>
      </c>
      <c r="AL281" s="24">
        <f t="shared" si="431"/>
        <v>0</v>
      </c>
      <c r="AN281" s="24">
        <v>21</v>
      </c>
      <c r="AO281" s="24">
        <f t="shared" si="432"/>
        <v>0</v>
      </c>
      <c r="AP281" s="24">
        <f t="shared" si="433"/>
        <v>0</v>
      </c>
      <c r="AQ281" s="26" t="s">
        <v>46</v>
      </c>
      <c r="AV281" s="24">
        <f t="shared" si="434"/>
        <v>0</v>
      </c>
      <c r="AW281" s="24">
        <f t="shared" si="435"/>
        <v>0</v>
      </c>
      <c r="AX281" s="24">
        <f t="shared" si="436"/>
        <v>0</v>
      </c>
      <c r="AY281" s="26" t="s">
        <v>833</v>
      </c>
      <c r="AZ281" s="26" t="s">
        <v>427</v>
      </c>
      <c r="BA281" s="10" t="s">
        <v>52</v>
      </c>
      <c r="BC281" s="24">
        <f t="shared" si="437"/>
        <v>0</v>
      </c>
      <c r="BD281" s="24">
        <f t="shared" si="438"/>
        <v>0</v>
      </c>
      <c r="BE281" s="24">
        <v>0</v>
      </c>
      <c r="BF281" s="24">
        <f>278</f>
        <v>278</v>
      </c>
      <c r="BH281" s="24">
        <f t="shared" si="439"/>
        <v>0</v>
      </c>
      <c r="BI281" s="24">
        <f t="shared" si="440"/>
        <v>0</v>
      </c>
      <c r="BJ281" s="24">
        <f t="shared" si="441"/>
        <v>0</v>
      </c>
      <c r="BK281" s="26" t="s">
        <v>53</v>
      </c>
      <c r="BL281" s="24"/>
      <c r="BW281" s="24">
        <v>21</v>
      </c>
      <c r="BX281" s="4" t="s">
        <v>847</v>
      </c>
    </row>
    <row r="282" spans="1:76" ht="14.4" x14ac:dyDescent="0.3">
      <c r="A282" s="2" t="s">
        <v>848</v>
      </c>
      <c r="B282" s="3" t="s">
        <v>831</v>
      </c>
      <c r="C282" s="82" t="s">
        <v>849</v>
      </c>
      <c r="D282" s="81"/>
      <c r="E282" s="3" t="s">
        <v>91</v>
      </c>
      <c r="F282" s="24">
        <v>30</v>
      </c>
      <c r="G282" s="180">
        <v>0</v>
      </c>
      <c r="H282" s="24">
        <f t="shared" si="418"/>
        <v>0</v>
      </c>
      <c r="I282" s="24">
        <f t="shared" si="419"/>
        <v>0</v>
      </c>
      <c r="J282" s="24">
        <f t="shared" si="420"/>
        <v>0</v>
      </c>
      <c r="K282" s="25"/>
      <c r="Z282" s="24">
        <f t="shared" si="421"/>
        <v>0</v>
      </c>
      <c r="AB282" s="24">
        <f t="shared" si="422"/>
        <v>0</v>
      </c>
      <c r="AC282" s="24">
        <f t="shared" si="423"/>
        <v>0</v>
      </c>
      <c r="AD282" s="24">
        <f t="shared" si="424"/>
        <v>0</v>
      </c>
      <c r="AE282" s="24">
        <f t="shared" si="425"/>
        <v>0</v>
      </c>
      <c r="AF282" s="24">
        <f t="shared" si="426"/>
        <v>0</v>
      </c>
      <c r="AG282" s="24">
        <f t="shared" si="427"/>
        <v>0</v>
      </c>
      <c r="AH282" s="24">
        <f t="shared" si="428"/>
        <v>0</v>
      </c>
      <c r="AI282" s="10" t="s">
        <v>43</v>
      </c>
      <c r="AJ282" s="24">
        <f t="shared" si="429"/>
        <v>0</v>
      </c>
      <c r="AK282" s="24">
        <f t="shared" si="430"/>
        <v>0</v>
      </c>
      <c r="AL282" s="24">
        <f t="shared" si="431"/>
        <v>0</v>
      </c>
      <c r="AN282" s="24">
        <v>21</v>
      </c>
      <c r="AO282" s="24">
        <f t="shared" si="432"/>
        <v>0</v>
      </c>
      <c r="AP282" s="24">
        <f t="shared" si="433"/>
        <v>0</v>
      </c>
      <c r="AQ282" s="26" t="s">
        <v>46</v>
      </c>
      <c r="AV282" s="24">
        <f t="shared" si="434"/>
        <v>0</v>
      </c>
      <c r="AW282" s="24">
        <f t="shared" si="435"/>
        <v>0</v>
      </c>
      <c r="AX282" s="24">
        <f t="shared" si="436"/>
        <v>0</v>
      </c>
      <c r="AY282" s="26" t="s">
        <v>833</v>
      </c>
      <c r="AZ282" s="26" t="s">
        <v>427</v>
      </c>
      <c r="BA282" s="10" t="s">
        <v>52</v>
      </c>
      <c r="BC282" s="24">
        <f t="shared" si="437"/>
        <v>0</v>
      </c>
      <c r="BD282" s="24">
        <f t="shared" si="438"/>
        <v>0</v>
      </c>
      <c r="BE282" s="24">
        <v>0</v>
      </c>
      <c r="BF282" s="24">
        <f>279</f>
        <v>279</v>
      </c>
      <c r="BH282" s="24">
        <f t="shared" si="439"/>
        <v>0</v>
      </c>
      <c r="BI282" s="24">
        <f t="shared" si="440"/>
        <v>0</v>
      </c>
      <c r="BJ282" s="24">
        <f t="shared" si="441"/>
        <v>0</v>
      </c>
      <c r="BK282" s="26" t="s">
        <v>53</v>
      </c>
      <c r="BL282" s="24"/>
      <c r="BW282" s="24">
        <v>21</v>
      </c>
      <c r="BX282" s="4" t="s">
        <v>849</v>
      </c>
    </row>
    <row r="283" spans="1:76" ht="14.4" x14ac:dyDescent="0.3">
      <c r="A283" s="2" t="s">
        <v>850</v>
      </c>
      <c r="B283" s="3" t="s">
        <v>831</v>
      </c>
      <c r="C283" s="82" t="s">
        <v>851</v>
      </c>
      <c r="D283" s="81"/>
      <c r="E283" s="3" t="s">
        <v>174</v>
      </c>
      <c r="F283" s="24">
        <v>120</v>
      </c>
      <c r="G283" s="180">
        <v>0</v>
      </c>
      <c r="H283" s="24">
        <f t="shared" si="418"/>
        <v>0</v>
      </c>
      <c r="I283" s="24">
        <f t="shared" si="419"/>
        <v>0</v>
      </c>
      <c r="J283" s="24">
        <f t="shared" si="420"/>
        <v>0</v>
      </c>
      <c r="K283" s="25"/>
      <c r="Z283" s="24">
        <f t="shared" si="421"/>
        <v>0</v>
      </c>
      <c r="AB283" s="24">
        <f t="shared" si="422"/>
        <v>0</v>
      </c>
      <c r="AC283" s="24">
        <f t="shared" si="423"/>
        <v>0</v>
      </c>
      <c r="AD283" s="24">
        <f t="shared" si="424"/>
        <v>0</v>
      </c>
      <c r="AE283" s="24">
        <f t="shared" si="425"/>
        <v>0</v>
      </c>
      <c r="AF283" s="24">
        <f t="shared" si="426"/>
        <v>0</v>
      </c>
      <c r="AG283" s="24">
        <f t="shared" si="427"/>
        <v>0</v>
      </c>
      <c r="AH283" s="24">
        <f t="shared" si="428"/>
        <v>0</v>
      </c>
      <c r="AI283" s="10" t="s">
        <v>43</v>
      </c>
      <c r="AJ283" s="24">
        <f t="shared" si="429"/>
        <v>0</v>
      </c>
      <c r="AK283" s="24">
        <f t="shared" si="430"/>
        <v>0</v>
      </c>
      <c r="AL283" s="24">
        <f t="shared" si="431"/>
        <v>0</v>
      </c>
      <c r="AN283" s="24">
        <v>21</v>
      </c>
      <c r="AO283" s="24">
        <f t="shared" si="432"/>
        <v>0</v>
      </c>
      <c r="AP283" s="24">
        <f t="shared" si="433"/>
        <v>0</v>
      </c>
      <c r="AQ283" s="26" t="s">
        <v>46</v>
      </c>
      <c r="AV283" s="24">
        <f t="shared" si="434"/>
        <v>0</v>
      </c>
      <c r="AW283" s="24">
        <f t="shared" si="435"/>
        <v>0</v>
      </c>
      <c r="AX283" s="24">
        <f t="shared" si="436"/>
        <v>0</v>
      </c>
      <c r="AY283" s="26" t="s">
        <v>833</v>
      </c>
      <c r="AZ283" s="26" t="s">
        <v>427</v>
      </c>
      <c r="BA283" s="10" t="s">
        <v>52</v>
      </c>
      <c r="BC283" s="24">
        <f t="shared" si="437"/>
        <v>0</v>
      </c>
      <c r="BD283" s="24">
        <f t="shared" si="438"/>
        <v>0</v>
      </c>
      <c r="BE283" s="24">
        <v>0</v>
      </c>
      <c r="BF283" s="24">
        <f>280</f>
        <v>280</v>
      </c>
      <c r="BH283" s="24">
        <f t="shared" si="439"/>
        <v>0</v>
      </c>
      <c r="BI283" s="24">
        <f t="shared" si="440"/>
        <v>0</v>
      </c>
      <c r="BJ283" s="24">
        <f t="shared" si="441"/>
        <v>0</v>
      </c>
      <c r="BK283" s="26" t="s">
        <v>53</v>
      </c>
      <c r="BL283" s="24"/>
      <c r="BW283" s="24">
        <v>21</v>
      </c>
      <c r="BX283" s="4" t="s">
        <v>851</v>
      </c>
    </row>
    <row r="284" spans="1:76" ht="14.4" x14ac:dyDescent="0.3">
      <c r="A284" s="2" t="s">
        <v>852</v>
      </c>
      <c r="B284" s="3" t="s">
        <v>831</v>
      </c>
      <c r="C284" s="82" t="s">
        <v>853</v>
      </c>
      <c r="D284" s="81"/>
      <c r="E284" s="3" t="s">
        <v>174</v>
      </c>
      <c r="F284" s="24">
        <v>340</v>
      </c>
      <c r="G284" s="180">
        <v>0</v>
      </c>
      <c r="H284" s="24">
        <f t="shared" si="418"/>
        <v>0</v>
      </c>
      <c r="I284" s="24">
        <f t="shared" si="419"/>
        <v>0</v>
      </c>
      <c r="J284" s="24">
        <f t="shared" si="420"/>
        <v>0</v>
      </c>
      <c r="K284" s="25"/>
      <c r="Z284" s="24">
        <f t="shared" si="421"/>
        <v>0</v>
      </c>
      <c r="AB284" s="24">
        <f t="shared" si="422"/>
        <v>0</v>
      </c>
      <c r="AC284" s="24">
        <f t="shared" si="423"/>
        <v>0</v>
      </c>
      <c r="AD284" s="24">
        <f t="shared" si="424"/>
        <v>0</v>
      </c>
      <c r="AE284" s="24">
        <f t="shared" si="425"/>
        <v>0</v>
      </c>
      <c r="AF284" s="24">
        <f t="shared" si="426"/>
        <v>0</v>
      </c>
      <c r="AG284" s="24">
        <f t="shared" si="427"/>
        <v>0</v>
      </c>
      <c r="AH284" s="24">
        <f t="shared" si="428"/>
        <v>0</v>
      </c>
      <c r="AI284" s="10" t="s">
        <v>43</v>
      </c>
      <c r="AJ284" s="24">
        <f t="shared" si="429"/>
        <v>0</v>
      </c>
      <c r="AK284" s="24">
        <f t="shared" si="430"/>
        <v>0</v>
      </c>
      <c r="AL284" s="24">
        <f t="shared" si="431"/>
        <v>0</v>
      </c>
      <c r="AN284" s="24">
        <v>21</v>
      </c>
      <c r="AO284" s="24">
        <f t="shared" si="432"/>
        <v>0</v>
      </c>
      <c r="AP284" s="24">
        <f t="shared" si="433"/>
        <v>0</v>
      </c>
      <c r="AQ284" s="26" t="s">
        <v>46</v>
      </c>
      <c r="AV284" s="24">
        <f t="shared" si="434"/>
        <v>0</v>
      </c>
      <c r="AW284" s="24">
        <f t="shared" si="435"/>
        <v>0</v>
      </c>
      <c r="AX284" s="24">
        <f t="shared" si="436"/>
        <v>0</v>
      </c>
      <c r="AY284" s="26" t="s">
        <v>833</v>
      </c>
      <c r="AZ284" s="26" t="s">
        <v>427</v>
      </c>
      <c r="BA284" s="10" t="s">
        <v>52</v>
      </c>
      <c r="BC284" s="24">
        <f t="shared" si="437"/>
        <v>0</v>
      </c>
      <c r="BD284" s="24">
        <f t="shared" si="438"/>
        <v>0</v>
      </c>
      <c r="BE284" s="24">
        <v>0</v>
      </c>
      <c r="BF284" s="24">
        <f>281</f>
        <v>281</v>
      </c>
      <c r="BH284" s="24">
        <f t="shared" si="439"/>
        <v>0</v>
      </c>
      <c r="BI284" s="24">
        <f t="shared" si="440"/>
        <v>0</v>
      </c>
      <c r="BJ284" s="24">
        <f t="shared" si="441"/>
        <v>0</v>
      </c>
      <c r="BK284" s="26" t="s">
        <v>53</v>
      </c>
      <c r="BL284" s="24"/>
      <c r="BW284" s="24">
        <v>21</v>
      </c>
      <c r="BX284" s="4" t="s">
        <v>853</v>
      </c>
    </row>
    <row r="285" spans="1:76" ht="14.4" x14ac:dyDescent="0.3">
      <c r="A285" s="2" t="s">
        <v>854</v>
      </c>
      <c r="B285" s="3" t="s">
        <v>831</v>
      </c>
      <c r="C285" s="82" t="s">
        <v>855</v>
      </c>
      <c r="D285" s="81"/>
      <c r="E285" s="3" t="s">
        <v>174</v>
      </c>
      <c r="F285" s="24">
        <v>12</v>
      </c>
      <c r="G285" s="180">
        <v>0</v>
      </c>
      <c r="H285" s="24">
        <f t="shared" si="418"/>
        <v>0</v>
      </c>
      <c r="I285" s="24">
        <f t="shared" si="419"/>
        <v>0</v>
      </c>
      <c r="J285" s="24">
        <f t="shared" si="420"/>
        <v>0</v>
      </c>
      <c r="K285" s="25"/>
      <c r="Z285" s="24">
        <f t="shared" si="421"/>
        <v>0</v>
      </c>
      <c r="AB285" s="24">
        <f t="shared" si="422"/>
        <v>0</v>
      </c>
      <c r="AC285" s="24">
        <f t="shared" si="423"/>
        <v>0</v>
      </c>
      <c r="AD285" s="24">
        <f t="shared" si="424"/>
        <v>0</v>
      </c>
      <c r="AE285" s="24">
        <f t="shared" si="425"/>
        <v>0</v>
      </c>
      <c r="AF285" s="24">
        <f t="shared" si="426"/>
        <v>0</v>
      </c>
      <c r="AG285" s="24">
        <f t="shared" si="427"/>
        <v>0</v>
      </c>
      <c r="AH285" s="24">
        <f t="shared" si="428"/>
        <v>0</v>
      </c>
      <c r="AI285" s="10" t="s">
        <v>43</v>
      </c>
      <c r="AJ285" s="24">
        <f t="shared" si="429"/>
        <v>0</v>
      </c>
      <c r="AK285" s="24">
        <f t="shared" si="430"/>
        <v>0</v>
      </c>
      <c r="AL285" s="24">
        <f t="shared" si="431"/>
        <v>0</v>
      </c>
      <c r="AN285" s="24">
        <v>21</v>
      </c>
      <c r="AO285" s="24">
        <f t="shared" si="432"/>
        <v>0</v>
      </c>
      <c r="AP285" s="24">
        <f t="shared" si="433"/>
        <v>0</v>
      </c>
      <c r="AQ285" s="26" t="s">
        <v>46</v>
      </c>
      <c r="AV285" s="24">
        <f t="shared" si="434"/>
        <v>0</v>
      </c>
      <c r="AW285" s="24">
        <f t="shared" si="435"/>
        <v>0</v>
      </c>
      <c r="AX285" s="24">
        <f t="shared" si="436"/>
        <v>0</v>
      </c>
      <c r="AY285" s="26" t="s">
        <v>833</v>
      </c>
      <c r="AZ285" s="26" t="s">
        <v>427</v>
      </c>
      <c r="BA285" s="10" t="s">
        <v>52</v>
      </c>
      <c r="BC285" s="24">
        <f t="shared" si="437"/>
        <v>0</v>
      </c>
      <c r="BD285" s="24">
        <f t="shared" si="438"/>
        <v>0</v>
      </c>
      <c r="BE285" s="24">
        <v>0</v>
      </c>
      <c r="BF285" s="24">
        <f>282</f>
        <v>282</v>
      </c>
      <c r="BH285" s="24">
        <f t="shared" si="439"/>
        <v>0</v>
      </c>
      <c r="BI285" s="24">
        <f t="shared" si="440"/>
        <v>0</v>
      </c>
      <c r="BJ285" s="24">
        <f t="shared" si="441"/>
        <v>0</v>
      </c>
      <c r="BK285" s="26" t="s">
        <v>53</v>
      </c>
      <c r="BL285" s="24"/>
      <c r="BW285" s="24">
        <v>21</v>
      </c>
      <c r="BX285" s="4" t="s">
        <v>855</v>
      </c>
    </row>
    <row r="286" spans="1:76" ht="14.4" x14ac:dyDescent="0.3">
      <c r="A286" s="2" t="s">
        <v>856</v>
      </c>
      <c r="B286" s="3" t="s">
        <v>831</v>
      </c>
      <c r="C286" s="82" t="s">
        <v>857</v>
      </c>
      <c r="D286" s="81"/>
      <c r="E286" s="3" t="s">
        <v>174</v>
      </c>
      <c r="F286" s="24">
        <v>6</v>
      </c>
      <c r="G286" s="180">
        <v>0</v>
      </c>
      <c r="H286" s="24">
        <f t="shared" si="418"/>
        <v>0</v>
      </c>
      <c r="I286" s="24">
        <f t="shared" si="419"/>
        <v>0</v>
      </c>
      <c r="J286" s="24">
        <f t="shared" si="420"/>
        <v>0</v>
      </c>
      <c r="K286" s="25"/>
      <c r="Z286" s="24">
        <f t="shared" si="421"/>
        <v>0</v>
      </c>
      <c r="AB286" s="24">
        <f t="shared" si="422"/>
        <v>0</v>
      </c>
      <c r="AC286" s="24">
        <f t="shared" si="423"/>
        <v>0</v>
      </c>
      <c r="AD286" s="24">
        <f t="shared" si="424"/>
        <v>0</v>
      </c>
      <c r="AE286" s="24">
        <f t="shared" si="425"/>
        <v>0</v>
      </c>
      <c r="AF286" s="24">
        <f t="shared" si="426"/>
        <v>0</v>
      </c>
      <c r="AG286" s="24">
        <f t="shared" si="427"/>
        <v>0</v>
      </c>
      <c r="AH286" s="24">
        <f t="shared" si="428"/>
        <v>0</v>
      </c>
      <c r="AI286" s="10" t="s">
        <v>43</v>
      </c>
      <c r="AJ286" s="24">
        <f t="shared" si="429"/>
        <v>0</v>
      </c>
      <c r="AK286" s="24">
        <f t="shared" si="430"/>
        <v>0</v>
      </c>
      <c r="AL286" s="24">
        <f t="shared" si="431"/>
        <v>0</v>
      </c>
      <c r="AN286" s="24">
        <v>21</v>
      </c>
      <c r="AO286" s="24">
        <f t="shared" si="432"/>
        <v>0</v>
      </c>
      <c r="AP286" s="24">
        <f t="shared" si="433"/>
        <v>0</v>
      </c>
      <c r="AQ286" s="26" t="s">
        <v>46</v>
      </c>
      <c r="AV286" s="24">
        <f t="shared" si="434"/>
        <v>0</v>
      </c>
      <c r="AW286" s="24">
        <f t="shared" si="435"/>
        <v>0</v>
      </c>
      <c r="AX286" s="24">
        <f t="shared" si="436"/>
        <v>0</v>
      </c>
      <c r="AY286" s="26" t="s">
        <v>833</v>
      </c>
      <c r="AZ286" s="26" t="s">
        <v>427</v>
      </c>
      <c r="BA286" s="10" t="s">
        <v>52</v>
      </c>
      <c r="BC286" s="24">
        <f t="shared" si="437"/>
        <v>0</v>
      </c>
      <c r="BD286" s="24">
        <f t="shared" si="438"/>
        <v>0</v>
      </c>
      <c r="BE286" s="24">
        <v>0</v>
      </c>
      <c r="BF286" s="24">
        <f>283</f>
        <v>283</v>
      </c>
      <c r="BH286" s="24">
        <f t="shared" si="439"/>
        <v>0</v>
      </c>
      <c r="BI286" s="24">
        <f t="shared" si="440"/>
        <v>0</v>
      </c>
      <c r="BJ286" s="24">
        <f t="shared" si="441"/>
        <v>0</v>
      </c>
      <c r="BK286" s="26" t="s">
        <v>53</v>
      </c>
      <c r="BL286" s="24"/>
      <c r="BW286" s="24">
        <v>21</v>
      </c>
      <c r="BX286" s="4" t="s">
        <v>857</v>
      </c>
    </row>
    <row r="287" spans="1:76" ht="14.4" x14ac:dyDescent="0.3">
      <c r="A287" s="2" t="s">
        <v>858</v>
      </c>
      <c r="B287" s="3" t="s">
        <v>831</v>
      </c>
      <c r="C287" s="82" t="s">
        <v>859</v>
      </c>
      <c r="D287" s="81"/>
      <c r="E287" s="3" t="s">
        <v>174</v>
      </c>
      <c r="F287" s="24">
        <v>24</v>
      </c>
      <c r="G287" s="180">
        <v>0</v>
      </c>
      <c r="H287" s="24">
        <f t="shared" si="418"/>
        <v>0</v>
      </c>
      <c r="I287" s="24">
        <f t="shared" si="419"/>
        <v>0</v>
      </c>
      <c r="J287" s="24">
        <f t="shared" si="420"/>
        <v>0</v>
      </c>
      <c r="K287" s="25"/>
      <c r="Z287" s="24">
        <f t="shared" si="421"/>
        <v>0</v>
      </c>
      <c r="AB287" s="24">
        <f t="shared" si="422"/>
        <v>0</v>
      </c>
      <c r="AC287" s="24">
        <f t="shared" si="423"/>
        <v>0</v>
      </c>
      <c r="AD287" s="24">
        <f t="shared" si="424"/>
        <v>0</v>
      </c>
      <c r="AE287" s="24">
        <f t="shared" si="425"/>
        <v>0</v>
      </c>
      <c r="AF287" s="24">
        <f t="shared" si="426"/>
        <v>0</v>
      </c>
      <c r="AG287" s="24">
        <f t="shared" si="427"/>
        <v>0</v>
      </c>
      <c r="AH287" s="24">
        <f t="shared" si="428"/>
        <v>0</v>
      </c>
      <c r="AI287" s="10" t="s">
        <v>43</v>
      </c>
      <c r="AJ287" s="24">
        <f t="shared" si="429"/>
        <v>0</v>
      </c>
      <c r="AK287" s="24">
        <f t="shared" si="430"/>
        <v>0</v>
      </c>
      <c r="AL287" s="24">
        <f t="shared" si="431"/>
        <v>0</v>
      </c>
      <c r="AN287" s="24">
        <v>21</v>
      </c>
      <c r="AO287" s="24">
        <f t="shared" si="432"/>
        <v>0</v>
      </c>
      <c r="AP287" s="24">
        <f t="shared" si="433"/>
        <v>0</v>
      </c>
      <c r="AQ287" s="26" t="s">
        <v>46</v>
      </c>
      <c r="AV287" s="24">
        <f t="shared" si="434"/>
        <v>0</v>
      </c>
      <c r="AW287" s="24">
        <f t="shared" si="435"/>
        <v>0</v>
      </c>
      <c r="AX287" s="24">
        <f t="shared" si="436"/>
        <v>0</v>
      </c>
      <c r="AY287" s="26" t="s">
        <v>833</v>
      </c>
      <c r="AZ287" s="26" t="s">
        <v>427</v>
      </c>
      <c r="BA287" s="10" t="s">
        <v>52</v>
      </c>
      <c r="BC287" s="24">
        <f t="shared" si="437"/>
        <v>0</v>
      </c>
      <c r="BD287" s="24">
        <f t="shared" si="438"/>
        <v>0</v>
      </c>
      <c r="BE287" s="24">
        <v>0</v>
      </c>
      <c r="BF287" s="24">
        <f>284</f>
        <v>284</v>
      </c>
      <c r="BH287" s="24">
        <f t="shared" si="439"/>
        <v>0</v>
      </c>
      <c r="BI287" s="24">
        <f t="shared" si="440"/>
        <v>0</v>
      </c>
      <c r="BJ287" s="24">
        <f t="shared" si="441"/>
        <v>0</v>
      </c>
      <c r="BK287" s="26" t="s">
        <v>53</v>
      </c>
      <c r="BL287" s="24"/>
      <c r="BW287" s="24">
        <v>21</v>
      </c>
      <c r="BX287" s="4" t="s">
        <v>859</v>
      </c>
    </row>
    <row r="288" spans="1:76" ht="14.4" x14ac:dyDescent="0.3">
      <c r="A288" s="2" t="s">
        <v>860</v>
      </c>
      <c r="B288" s="3" t="s">
        <v>831</v>
      </c>
      <c r="C288" s="82" t="s">
        <v>861</v>
      </c>
      <c r="D288" s="81"/>
      <c r="E288" s="3" t="s">
        <v>174</v>
      </c>
      <c r="F288" s="24">
        <v>70</v>
      </c>
      <c r="G288" s="180">
        <v>0</v>
      </c>
      <c r="H288" s="24">
        <f t="shared" si="418"/>
        <v>0</v>
      </c>
      <c r="I288" s="24">
        <f t="shared" si="419"/>
        <v>0</v>
      </c>
      <c r="J288" s="24">
        <f t="shared" si="420"/>
        <v>0</v>
      </c>
      <c r="K288" s="25"/>
      <c r="Z288" s="24">
        <f t="shared" si="421"/>
        <v>0</v>
      </c>
      <c r="AB288" s="24">
        <f t="shared" si="422"/>
        <v>0</v>
      </c>
      <c r="AC288" s="24">
        <f t="shared" si="423"/>
        <v>0</v>
      </c>
      <c r="AD288" s="24">
        <f t="shared" si="424"/>
        <v>0</v>
      </c>
      <c r="AE288" s="24">
        <f t="shared" si="425"/>
        <v>0</v>
      </c>
      <c r="AF288" s="24">
        <f t="shared" si="426"/>
        <v>0</v>
      </c>
      <c r="AG288" s="24">
        <f t="shared" si="427"/>
        <v>0</v>
      </c>
      <c r="AH288" s="24">
        <f t="shared" si="428"/>
        <v>0</v>
      </c>
      <c r="AI288" s="10" t="s">
        <v>43</v>
      </c>
      <c r="AJ288" s="24">
        <f t="shared" si="429"/>
        <v>0</v>
      </c>
      <c r="AK288" s="24">
        <f t="shared" si="430"/>
        <v>0</v>
      </c>
      <c r="AL288" s="24">
        <f t="shared" si="431"/>
        <v>0</v>
      </c>
      <c r="AN288" s="24">
        <v>21</v>
      </c>
      <c r="AO288" s="24">
        <f t="shared" si="432"/>
        <v>0</v>
      </c>
      <c r="AP288" s="24">
        <f t="shared" si="433"/>
        <v>0</v>
      </c>
      <c r="AQ288" s="26" t="s">
        <v>46</v>
      </c>
      <c r="AV288" s="24">
        <f t="shared" si="434"/>
        <v>0</v>
      </c>
      <c r="AW288" s="24">
        <f t="shared" si="435"/>
        <v>0</v>
      </c>
      <c r="AX288" s="24">
        <f t="shared" si="436"/>
        <v>0</v>
      </c>
      <c r="AY288" s="26" t="s">
        <v>833</v>
      </c>
      <c r="AZ288" s="26" t="s">
        <v>427</v>
      </c>
      <c r="BA288" s="10" t="s">
        <v>52</v>
      </c>
      <c r="BC288" s="24">
        <f t="shared" si="437"/>
        <v>0</v>
      </c>
      <c r="BD288" s="24">
        <f t="shared" si="438"/>
        <v>0</v>
      </c>
      <c r="BE288" s="24">
        <v>0</v>
      </c>
      <c r="BF288" s="24">
        <f>285</f>
        <v>285</v>
      </c>
      <c r="BH288" s="24">
        <f t="shared" si="439"/>
        <v>0</v>
      </c>
      <c r="BI288" s="24">
        <f t="shared" si="440"/>
        <v>0</v>
      </c>
      <c r="BJ288" s="24">
        <f t="shared" si="441"/>
        <v>0</v>
      </c>
      <c r="BK288" s="26" t="s">
        <v>53</v>
      </c>
      <c r="BL288" s="24"/>
      <c r="BW288" s="24">
        <v>21</v>
      </c>
      <c r="BX288" s="4" t="s">
        <v>861</v>
      </c>
    </row>
    <row r="289" spans="1:76" ht="14.4" x14ac:dyDescent="0.3">
      <c r="A289" s="2" t="s">
        <v>862</v>
      </c>
      <c r="B289" s="3" t="s">
        <v>831</v>
      </c>
      <c r="C289" s="82" t="s">
        <v>863</v>
      </c>
      <c r="D289" s="81"/>
      <c r="E289" s="3" t="s">
        <v>174</v>
      </c>
      <c r="F289" s="24">
        <v>1</v>
      </c>
      <c r="G289" s="180">
        <v>0</v>
      </c>
      <c r="H289" s="24">
        <f t="shared" si="418"/>
        <v>0</v>
      </c>
      <c r="I289" s="24">
        <f t="shared" si="419"/>
        <v>0</v>
      </c>
      <c r="J289" s="24">
        <f t="shared" si="420"/>
        <v>0</v>
      </c>
      <c r="K289" s="25"/>
      <c r="Z289" s="24">
        <f t="shared" si="421"/>
        <v>0</v>
      </c>
      <c r="AB289" s="24">
        <f t="shared" si="422"/>
        <v>0</v>
      </c>
      <c r="AC289" s="24">
        <f t="shared" si="423"/>
        <v>0</v>
      </c>
      <c r="AD289" s="24">
        <f t="shared" si="424"/>
        <v>0</v>
      </c>
      <c r="AE289" s="24">
        <f t="shared" si="425"/>
        <v>0</v>
      </c>
      <c r="AF289" s="24">
        <f t="shared" si="426"/>
        <v>0</v>
      </c>
      <c r="AG289" s="24">
        <f t="shared" si="427"/>
        <v>0</v>
      </c>
      <c r="AH289" s="24">
        <f t="shared" si="428"/>
        <v>0</v>
      </c>
      <c r="AI289" s="10" t="s">
        <v>43</v>
      </c>
      <c r="AJ289" s="24">
        <f t="shared" si="429"/>
        <v>0</v>
      </c>
      <c r="AK289" s="24">
        <f t="shared" si="430"/>
        <v>0</v>
      </c>
      <c r="AL289" s="24">
        <f t="shared" si="431"/>
        <v>0</v>
      </c>
      <c r="AN289" s="24">
        <v>21</v>
      </c>
      <c r="AO289" s="24">
        <f t="shared" si="432"/>
        <v>0</v>
      </c>
      <c r="AP289" s="24">
        <f t="shared" si="433"/>
        <v>0</v>
      </c>
      <c r="AQ289" s="26" t="s">
        <v>46</v>
      </c>
      <c r="AV289" s="24">
        <f t="shared" si="434"/>
        <v>0</v>
      </c>
      <c r="AW289" s="24">
        <f t="shared" si="435"/>
        <v>0</v>
      </c>
      <c r="AX289" s="24">
        <f t="shared" si="436"/>
        <v>0</v>
      </c>
      <c r="AY289" s="26" t="s">
        <v>833</v>
      </c>
      <c r="AZ289" s="26" t="s">
        <v>427</v>
      </c>
      <c r="BA289" s="10" t="s">
        <v>52</v>
      </c>
      <c r="BC289" s="24">
        <f t="shared" si="437"/>
        <v>0</v>
      </c>
      <c r="BD289" s="24">
        <f t="shared" si="438"/>
        <v>0</v>
      </c>
      <c r="BE289" s="24">
        <v>0</v>
      </c>
      <c r="BF289" s="24">
        <f>286</f>
        <v>286</v>
      </c>
      <c r="BH289" s="24">
        <f t="shared" si="439"/>
        <v>0</v>
      </c>
      <c r="BI289" s="24">
        <f t="shared" si="440"/>
        <v>0</v>
      </c>
      <c r="BJ289" s="24">
        <f t="shared" si="441"/>
        <v>0</v>
      </c>
      <c r="BK289" s="26" t="s">
        <v>53</v>
      </c>
      <c r="BL289" s="24"/>
      <c r="BW289" s="24">
        <v>21</v>
      </c>
      <c r="BX289" s="4" t="s">
        <v>863</v>
      </c>
    </row>
    <row r="290" spans="1:76" ht="14.4" x14ac:dyDescent="0.3">
      <c r="A290" s="2" t="s">
        <v>864</v>
      </c>
      <c r="B290" s="3" t="s">
        <v>831</v>
      </c>
      <c r="C290" s="82" t="s">
        <v>865</v>
      </c>
      <c r="D290" s="81"/>
      <c r="E290" s="3" t="s">
        <v>174</v>
      </c>
      <c r="F290" s="24">
        <v>300</v>
      </c>
      <c r="G290" s="180">
        <v>0</v>
      </c>
      <c r="H290" s="24">
        <f t="shared" si="418"/>
        <v>0</v>
      </c>
      <c r="I290" s="24">
        <f t="shared" si="419"/>
        <v>0</v>
      </c>
      <c r="J290" s="24">
        <f t="shared" si="420"/>
        <v>0</v>
      </c>
      <c r="K290" s="25"/>
      <c r="Z290" s="24">
        <f t="shared" si="421"/>
        <v>0</v>
      </c>
      <c r="AB290" s="24">
        <f t="shared" si="422"/>
        <v>0</v>
      </c>
      <c r="AC290" s="24">
        <f t="shared" si="423"/>
        <v>0</v>
      </c>
      <c r="AD290" s="24">
        <f t="shared" si="424"/>
        <v>0</v>
      </c>
      <c r="AE290" s="24">
        <f t="shared" si="425"/>
        <v>0</v>
      </c>
      <c r="AF290" s="24">
        <f t="shared" si="426"/>
        <v>0</v>
      </c>
      <c r="AG290" s="24">
        <f t="shared" si="427"/>
        <v>0</v>
      </c>
      <c r="AH290" s="24">
        <f t="shared" si="428"/>
        <v>0</v>
      </c>
      <c r="AI290" s="10" t="s">
        <v>43</v>
      </c>
      <c r="AJ290" s="24">
        <f t="shared" si="429"/>
        <v>0</v>
      </c>
      <c r="AK290" s="24">
        <f t="shared" si="430"/>
        <v>0</v>
      </c>
      <c r="AL290" s="24">
        <f t="shared" si="431"/>
        <v>0</v>
      </c>
      <c r="AN290" s="24">
        <v>21</v>
      </c>
      <c r="AO290" s="24">
        <f t="shared" si="432"/>
        <v>0</v>
      </c>
      <c r="AP290" s="24">
        <f t="shared" si="433"/>
        <v>0</v>
      </c>
      <c r="AQ290" s="26" t="s">
        <v>46</v>
      </c>
      <c r="AV290" s="24">
        <f t="shared" si="434"/>
        <v>0</v>
      </c>
      <c r="AW290" s="24">
        <f t="shared" si="435"/>
        <v>0</v>
      </c>
      <c r="AX290" s="24">
        <f t="shared" si="436"/>
        <v>0</v>
      </c>
      <c r="AY290" s="26" t="s">
        <v>833</v>
      </c>
      <c r="AZ290" s="26" t="s">
        <v>427</v>
      </c>
      <c r="BA290" s="10" t="s">
        <v>52</v>
      </c>
      <c r="BC290" s="24">
        <f t="shared" si="437"/>
        <v>0</v>
      </c>
      <c r="BD290" s="24">
        <f t="shared" si="438"/>
        <v>0</v>
      </c>
      <c r="BE290" s="24">
        <v>0</v>
      </c>
      <c r="BF290" s="24">
        <f>287</f>
        <v>287</v>
      </c>
      <c r="BH290" s="24">
        <f t="shared" si="439"/>
        <v>0</v>
      </c>
      <c r="BI290" s="24">
        <f t="shared" si="440"/>
        <v>0</v>
      </c>
      <c r="BJ290" s="24">
        <f t="shared" si="441"/>
        <v>0</v>
      </c>
      <c r="BK290" s="26" t="s">
        <v>53</v>
      </c>
      <c r="BL290" s="24"/>
      <c r="BW290" s="24">
        <v>21</v>
      </c>
      <c r="BX290" s="4" t="s">
        <v>865</v>
      </c>
    </row>
    <row r="291" spans="1:76" ht="14.4" x14ac:dyDescent="0.3">
      <c r="A291" s="2" t="s">
        <v>866</v>
      </c>
      <c r="B291" s="3" t="s">
        <v>831</v>
      </c>
      <c r="C291" s="82" t="s">
        <v>867</v>
      </c>
      <c r="D291" s="81"/>
      <c r="E291" s="3" t="s">
        <v>174</v>
      </c>
      <c r="F291" s="24">
        <v>5</v>
      </c>
      <c r="G291" s="180">
        <v>0</v>
      </c>
      <c r="H291" s="24">
        <f t="shared" si="418"/>
        <v>0</v>
      </c>
      <c r="I291" s="24">
        <f t="shared" si="419"/>
        <v>0</v>
      </c>
      <c r="J291" s="24">
        <f t="shared" si="420"/>
        <v>0</v>
      </c>
      <c r="K291" s="25"/>
      <c r="Z291" s="24">
        <f t="shared" si="421"/>
        <v>0</v>
      </c>
      <c r="AB291" s="24">
        <f t="shared" si="422"/>
        <v>0</v>
      </c>
      <c r="AC291" s="24">
        <f t="shared" si="423"/>
        <v>0</v>
      </c>
      <c r="AD291" s="24">
        <f t="shared" si="424"/>
        <v>0</v>
      </c>
      <c r="AE291" s="24">
        <f t="shared" si="425"/>
        <v>0</v>
      </c>
      <c r="AF291" s="24">
        <f t="shared" si="426"/>
        <v>0</v>
      </c>
      <c r="AG291" s="24">
        <f t="shared" si="427"/>
        <v>0</v>
      </c>
      <c r="AH291" s="24">
        <f t="shared" si="428"/>
        <v>0</v>
      </c>
      <c r="AI291" s="10" t="s">
        <v>43</v>
      </c>
      <c r="AJ291" s="24">
        <f t="shared" si="429"/>
        <v>0</v>
      </c>
      <c r="AK291" s="24">
        <f t="shared" si="430"/>
        <v>0</v>
      </c>
      <c r="AL291" s="24">
        <f t="shared" si="431"/>
        <v>0</v>
      </c>
      <c r="AN291" s="24">
        <v>21</v>
      </c>
      <c r="AO291" s="24">
        <f t="shared" si="432"/>
        <v>0</v>
      </c>
      <c r="AP291" s="24">
        <f t="shared" si="433"/>
        <v>0</v>
      </c>
      <c r="AQ291" s="26" t="s">
        <v>46</v>
      </c>
      <c r="AV291" s="24">
        <f t="shared" si="434"/>
        <v>0</v>
      </c>
      <c r="AW291" s="24">
        <f t="shared" si="435"/>
        <v>0</v>
      </c>
      <c r="AX291" s="24">
        <f t="shared" si="436"/>
        <v>0</v>
      </c>
      <c r="AY291" s="26" t="s">
        <v>833</v>
      </c>
      <c r="AZ291" s="26" t="s">
        <v>427</v>
      </c>
      <c r="BA291" s="10" t="s">
        <v>52</v>
      </c>
      <c r="BC291" s="24">
        <f t="shared" si="437"/>
        <v>0</v>
      </c>
      <c r="BD291" s="24">
        <f t="shared" si="438"/>
        <v>0</v>
      </c>
      <c r="BE291" s="24">
        <v>0</v>
      </c>
      <c r="BF291" s="24">
        <f>288</f>
        <v>288</v>
      </c>
      <c r="BH291" s="24">
        <f t="shared" si="439"/>
        <v>0</v>
      </c>
      <c r="BI291" s="24">
        <f t="shared" si="440"/>
        <v>0</v>
      </c>
      <c r="BJ291" s="24">
        <f t="shared" si="441"/>
        <v>0</v>
      </c>
      <c r="BK291" s="26" t="s">
        <v>53</v>
      </c>
      <c r="BL291" s="24"/>
      <c r="BW291" s="24">
        <v>21</v>
      </c>
      <c r="BX291" s="4" t="s">
        <v>867</v>
      </c>
    </row>
    <row r="292" spans="1:76" ht="14.4" x14ac:dyDescent="0.3">
      <c r="A292" s="2" t="s">
        <v>868</v>
      </c>
      <c r="B292" s="3" t="s">
        <v>831</v>
      </c>
      <c r="C292" s="82" t="s">
        <v>869</v>
      </c>
      <c r="D292" s="81"/>
      <c r="E292" s="3" t="s">
        <v>174</v>
      </c>
      <c r="F292" s="24">
        <v>20</v>
      </c>
      <c r="G292" s="180">
        <v>0</v>
      </c>
      <c r="H292" s="24">
        <f t="shared" si="418"/>
        <v>0</v>
      </c>
      <c r="I292" s="24">
        <f t="shared" si="419"/>
        <v>0</v>
      </c>
      <c r="J292" s="24">
        <f t="shared" si="420"/>
        <v>0</v>
      </c>
      <c r="K292" s="25"/>
      <c r="Z292" s="24">
        <f t="shared" si="421"/>
        <v>0</v>
      </c>
      <c r="AB292" s="24">
        <f t="shared" si="422"/>
        <v>0</v>
      </c>
      <c r="AC292" s="24">
        <f t="shared" si="423"/>
        <v>0</v>
      </c>
      <c r="AD292" s="24">
        <f t="shared" si="424"/>
        <v>0</v>
      </c>
      <c r="AE292" s="24">
        <f t="shared" si="425"/>
        <v>0</v>
      </c>
      <c r="AF292" s="24">
        <f t="shared" si="426"/>
        <v>0</v>
      </c>
      <c r="AG292" s="24">
        <f t="shared" si="427"/>
        <v>0</v>
      </c>
      <c r="AH292" s="24">
        <f t="shared" si="428"/>
        <v>0</v>
      </c>
      <c r="AI292" s="10" t="s">
        <v>43</v>
      </c>
      <c r="AJ292" s="24">
        <f t="shared" si="429"/>
        <v>0</v>
      </c>
      <c r="AK292" s="24">
        <f t="shared" si="430"/>
        <v>0</v>
      </c>
      <c r="AL292" s="24">
        <f t="shared" si="431"/>
        <v>0</v>
      </c>
      <c r="AN292" s="24">
        <v>21</v>
      </c>
      <c r="AO292" s="24">
        <f t="shared" si="432"/>
        <v>0</v>
      </c>
      <c r="AP292" s="24">
        <f t="shared" si="433"/>
        <v>0</v>
      </c>
      <c r="AQ292" s="26" t="s">
        <v>46</v>
      </c>
      <c r="AV292" s="24">
        <f t="shared" si="434"/>
        <v>0</v>
      </c>
      <c r="AW292" s="24">
        <f t="shared" si="435"/>
        <v>0</v>
      </c>
      <c r="AX292" s="24">
        <f t="shared" si="436"/>
        <v>0</v>
      </c>
      <c r="AY292" s="26" t="s">
        <v>833</v>
      </c>
      <c r="AZ292" s="26" t="s">
        <v>427</v>
      </c>
      <c r="BA292" s="10" t="s">
        <v>52</v>
      </c>
      <c r="BC292" s="24">
        <f t="shared" si="437"/>
        <v>0</v>
      </c>
      <c r="BD292" s="24">
        <f t="shared" si="438"/>
        <v>0</v>
      </c>
      <c r="BE292" s="24">
        <v>0</v>
      </c>
      <c r="BF292" s="24">
        <f>289</f>
        <v>289</v>
      </c>
      <c r="BH292" s="24">
        <f t="shared" si="439"/>
        <v>0</v>
      </c>
      <c r="BI292" s="24">
        <f t="shared" si="440"/>
        <v>0</v>
      </c>
      <c r="BJ292" s="24">
        <f t="shared" si="441"/>
        <v>0</v>
      </c>
      <c r="BK292" s="26" t="s">
        <v>53</v>
      </c>
      <c r="BL292" s="24"/>
      <c r="BW292" s="24">
        <v>21</v>
      </c>
      <c r="BX292" s="4" t="s">
        <v>869</v>
      </c>
    </row>
    <row r="293" spans="1:76" ht="14.4" x14ac:dyDescent="0.3">
      <c r="A293" s="2" t="s">
        <v>870</v>
      </c>
      <c r="B293" s="3" t="s">
        <v>831</v>
      </c>
      <c r="C293" s="82" t="s">
        <v>871</v>
      </c>
      <c r="D293" s="81"/>
      <c r="E293" s="3" t="s">
        <v>174</v>
      </c>
      <c r="F293" s="24">
        <v>6</v>
      </c>
      <c r="G293" s="180">
        <v>0</v>
      </c>
      <c r="H293" s="24">
        <f t="shared" si="418"/>
        <v>0</v>
      </c>
      <c r="I293" s="24">
        <f t="shared" si="419"/>
        <v>0</v>
      </c>
      <c r="J293" s="24">
        <f t="shared" si="420"/>
        <v>0</v>
      </c>
      <c r="K293" s="25"/>
      <c r="Z293" s="24">
        <f t="shared" si="421"/>
        <v>0</v>
      </c>
      <c r="AB293" s="24">
        <f t="shared" si="422"/>
        <v>0</v>
      </c>
      <c r="AC293" s="24">
        <f t="shared" si="423"/>
        <v>0</v>
      </c>
      <c r="AD293" s="24">
        <f t="shared" si="424"/>
        <v>0</v>
      </c>
      <c r="AE293" s="24">
        <f t="shared" si="425"/>
        <v>0</v>
      </c>
      <c r="AF293" s="24">
        <f t="shared" si="426"/>
        <v>0</v>
      </c>
      <c r="AG293" s="24">
        <f t="shared" si="427"/>
        <v>0</v>
      </c>
      <c r="AH293" s="24">
        <f t="shared" si="428"/>
        <v>0</v>
      </c>
      <c r="AI293" s="10" t="s">
        <v>43</v>
      </c>
      <c r="AJ293" s="24">
        <f t="shared" si="429"/>
        <v>0</v>
      </c>
      <c r="AK293" s="24">
        <f t="shared" si="430"/>
        <v>0</v>
      </c>
      <c r="AL293" s="24">
        <f t="shared" si="431"/>
        <v>0</v>
      </c>
      <c r="AN293" s="24">
        <v>21</v>
      </c>
      <c r="AO293" s="24">
        <f t="shared" si="432"/>
        <v>0</v>
      </c>
      <c r="AP293" s="24">
        <f t="shared" si="433"/>
        <v>0</v>
      </c>
      <c r="AQ293" s="26" t="s">
        <v>46</v>
      </c>
      <c r="AV293" s="24">
        <f t="shared" si="434"/>
        <v>0</v>
      </c>
      <c r="AW293" s="24">
        <f t="shared" si="435"/>
        <v>0</v>
      </c>
      <c r="AX293" s="24">
        <f t="shared" si="436"/>
        <v>0</v>
      </c>
      <c r="AY293" s="26" t="s">
        <v>833</v>
      </c>
      <c r="AZ293" s="26" t="s">
        <v>427</v>
      </c>
      <c r="BA293" s="10" t="s">
        <v>52</v>
      </c>
      <c r="BC293" s="24">
        <f t="shared" si="437"/>
        <v>0</v>
      </c>
      <c r="BD293" s="24">
        <f t="shared" si="438"/>
        <v>0</v>
      </c>
      <c r="BE293" s="24">
        <v>0</v>
      </c>
      <c r="BF293" s="24">
        <f>290</f>
        <v>290</v>
      </c>
      <c r="BH293" s="24">
        <f t="shared" si="439"/>
        <v>0</v>
      </c>
      <c r="BI293" s="24">
        <f t="shared" si="440"/>
        <v>0</v>
      </c>
      <c r="BJ293" s="24">
        <f t="shared" si="441"/>
        <v>0</v>
      </c>
      <c r="BK293" s="26" t="s">
        <v>53</v>
      </c>
      <c r="BL293" s="24"/>
      <c r="BW293" s="24">
        <v>21</v>
      </c>
      <c r="BX293" s="4" t="s">
        <v>871</v>
      </c>
    </row>
    <row r="294" spans="1:76" ht="14.4" x14ac:dyDescent="0.3">
      <c r="A294" s="2" t="s">
        <v>872</v>
      </c>
      <c r="B294" s="3" t="s">
        <v>831</v>
      </c>
      <c r="C294" s="82" t="s">
        <v>873</v>
      </c>
      <c r="D294" s="81"/>
      <c r="E294" s="3" t="s">
        <v>174</v>
      </c>
      <c r="F294" s="24">
        <v>14</v>
      </c>
      <c r="G294" s="180">
        <v>0</v>
      </c>
      <c r="H294" s="24">
        <f t="shared" si="418"/>
        <v>0</v>
      </c>
      <c r="I294" s="24">
        <f t="shared" si="419"/>
        <v>0</v>
      </c>
      <c r="J294" s="24">
        <f t="shared" si="420"/>
        <v>0</v>
      </c>
      <c r="K294" s="25"/>
      <c r="Z294" s="24">
        <f t="shared" si="421"/>
        <v>0</v>
      </c>
      <c r="AB294" s="24">
        <f t="shared" si="422"/>
        <v>0</v>
      </c>
      <c r="AC294" s="24">
        <f t="shared" si="423"/>
        <v>0</v>
      </c>
      <c r="AD294" s="24">
        <f t="shared" si="424"/>
        <v>0</v>
      </c>
      <c r="AE294" s="24">
        <f t="shared" si="425"/>
        <v>0</v>
      </c>
      <c r="AF294" s="24">
        <f t="shared" si="426"/>
        <v>0</v>
      </c>
      <c r="AG294" s="24">
        <f t="shared" si="427"/>
        <v>0</v>
      </c>
      <c r="AH294" s="24">
        <f t="shared" si="428"/>
        <v>0</v>
      </c>
      <c r="AI294" s="10" t="s">
        <v>43</v>
      </c>
      <c r="AJ294" s="24">
        <f t="shared" si="429"/>
        <v>0</v>
      </c>
      <c r="AK294" s="24">
        <f t="shared" si="430"/>
        <v>0</v>
      </c>
      <c r="AL294" s="24">
        <f t="shared" si="431"/>
        <v>0</v>
      </c>
      <c r="AN294" s="24">
        <v>21</v>
      </c>
      <c r="AO294" s="24">
        <f t="shared" si="432"/>
        <v>0</v>
      </c>
      <c r="AP294" s="24">
        <f t="shared" si="433"/>
        <v>0</v>
      </c>
      <c r="AQ294" s="26" t="s">
        <v>46</v>
      </c>
      <c r="AV294" s="24">
        <f t="shared" si="434"/>
        <v>0</v>
      </c>
      <c r="AW294" s="24">
        <f t="shared" si="435"/>
        <v>0</v>
      </c>
      <c r="AX294" s="24">
        <f t="shared" si="436"/>
        <v>0</v>
      </c>
      <c r="AY294" s="26" t="s">
        <v>833</v>
      </c>
      <c r="AZ294" s="26" t="s">
        <v>427</v>
      </c>
      <c r="BA294" s="10" t="s">
        <v>52</v>
      </c>
      <c r="BC294" s="24">
        <f t="shared" si="437"/>
        <v>0</v>
      </c>
      <c r="BD294" s="24">
        <f t="shared" si="438"/>
        <v>0</v>
      </c>
      <c r="BE294" s="24">
        <v>0</v>
      </c>
      <c r="BF294" s="24">
        <f>291</f>
        <v>291</v>
      </c>
      <c r="BH294" s="24">
        <f t="shared" si="439"/>
        <v>0</v>
      </c>
      <c r="BI294" s="24">
        <f t="shared" si="440"/>
        <v>0</v>
      </c>
      <c r="BJ294" s="24">
        <f t="shared" si="441"/>
        <v>0</v>
      </c>
      <c r="BK294" s="26" t="s">
        <v>53</v>
      </c>
      <c r="BL294" s="24"/>
      <c r="BW294" s="24">
        <v>21</v>
      </c>
      <c r="BX294" s="4" t="s">
        <v>873</v>
      </c>
    </row>
    <row r="295" spans="1:76" ht="14.4" x14ac:dyDescent="0.3">
      <c r="A295" s="2" t="s">
        <v>874</v>
      </c>
      <c r="B295" s="3" t="s">
        <v>831</v>
      </c>
      <c r="C295" s="82" t="s">
        <v>875</v>
      </c>
      <c r="D295" s="81"/>
      <c r="E295" s="3" t="s">
        <v>91</v>
      </c>
      <c r="F295" s="24">
        <v>180</v>
      </c>
      <c r="G295" s="180">
        <v>0</v>
      </c>
      <c r="H295" s="24">
        <f t="shared" si="418"/>
        <v>0</v>
      </c>
      <c r="I295" s="24">
        <f t="shared" si="419"/>
        <v>0</v>
      </c>
      <c r="J295" s="24">
        <f t="shared" si="420"/>
        <v>0</v>
      </c>
      <c r="K295" s="25"/>
      <c r="Z295" s="24">
        <f t="shared" si="421"/>
        <v>0</v>
      </c>
      <c r="AB295" s="24">
        <f t="shared" si="422"/>
        <v>0</v>
      </c>
      <c r="AC295" s="24">
        <f t="shared" si="423"/>
        <v>0</v>
      </c>
      <c r="AD295" s="24">
        <f t="shared" si="424"/>
        <v>0</v>
      </c>
      <c r="AE295" s="24">
        <f t="shared" si="425"/>
        <v>0</v>
      </c>
      <c r="AF295" s="24">
        <f t="shared" si="426"/>
        <v>0</v>
      </c>
      <c r="AG295" s="24">
        <f t="shared" si="427"/>
        <v>0</v>
      </c>
      <c r="AH295" s="24">
        <f t="shared" si="428"/>
        <v>0</v>
      </c>
      <c r="AI295" s="10" t="s">
        <v>43</v>
      </c>
      <c r="AJ295" s="24">
        <f t="shared" si="429"/>
        <v>0</v>
      </c>
      <c r="AK295" s="24">
        <f t="shared" si="430"/>
        <v>0</v>
      </c>
      <c r="AL295" s="24">
        <f t="shared" si="431"/>
        <v>0</v>
      </c>
      <c r="AN295" s="24">
        <v>21</v>
      </c>
      <c r="AO295" s="24">
        <f t="shared" si="432"/>
        <v>0</v>
      </c>
      <c r="AP295" s="24">
        <f t="shared" si="433"/>
        <v>0</v>
      </c>
      <c r="AQ295" s="26" t="s">
        <v>46</v>
      </c>
      <c r="AV295" s="24">
        <f t="shared" si="434"/>
        <v>0</v>
      </c>
      <c r="AW295" s="24">
        <f t="shared" si="435"/>
        <v>0</v>
      </c>
      <c r="AX295" s="24">
        <f t="shared" si="436"/>
        <v>0</v>
      </c>
      <c r="AY295" s="26" t="s">
        <v>833</v>
      </c>
      <c r="AZ295" s="26" t="s">
        <v>427</v>
      </c>
      <c r="BA295" s="10" t="s">
        <v>52</v>
      </c>
      <c r="BC295" s="24">
        <f t="shared" si="437"/>
        <v>0</v>
      </c>
      <c r="BD295" s="24">
        <f t="shared" si="438"/>
        <v>0</v>
      </c>
      <c r="BE295" s="24">
        <v>0</v>
      </c>
      <c r="BF295" s="24">
        <f>292</f>
        <v>292</v>
      </c>
      <c r="BH295" s="24">
        <f t="shared" si="439"/>
        <v>0</v>
      </c>
      <c r="BI295" s="24">
        <f t="shared" si="440"/>
        <v>0</v>
      </c>
      <c r="BJ295" s="24">
        <f t="shared" si="441"/>
        <v>0</v>
      </c>
      <c r="BK295" s="26" t="s">
        <v>53</v>
      </c>
      <c r="BL295" s="24"/>
      <c r="BW295" s="24">
        <v>21</v>
      </c>
      <c r="BX295" s="4" t="s">
        <v>875</v>
      </c>
    </row>
    <row r="296" spans="1:76" ht="14.4" x14ac:dyDescent="0.3">
      <c r="A296" s="2" t="s">
        <v>876</v>
      </c>
      <c r="B296" s="3" t="s">
        <v>831</v>
      </c>
      <c r="C296" s="82" t="s">
        <v>877</v>
      </c>
      <c r="D296" s="81"/>
      <c r="E296" s="3" t="s">
        <v>91</v>
      </c>
      <c r="F296" s="24">
        <v>420</v>
      </c>
      <c r="G296" s="180">
        <v>0</v>
      </c>
      <c r="H296" s="24">
        <f t="shared" si="418"/>
        <v>0</v>
      </c>
      <c r="I296" s="24">
        <f t="shared" si="419"/>
        <v>0</v>
      </c>
      <c r="J296" s="24">
        <f t="shared" si="420"/>
        <v>0</v>
      </c>
      <c r="K296" s="25"/>
      <c r="Z296" s="24">
        <f t="shared" si="421"/>
        <v>0</v>
      </c>
      <c r="AB296" s="24">
        <f t="shared" si="422"/>
        <v>0</v>
      </c>
      <c r="AC296" s="24">
        <f t="shared" si="423"/>
        <v>0</v>
      </c>
      <c r="AD296" s="24">
        <f t="shared" si="424"/>
        <v>0</v>
      </c>
      <c r="AE296" s="24">
        <f t="shared" si="425"/>
        <v>0</v>
      </c>
      <c r="AF296" s="24">
        <f t="shared" si="426"/>
        <v>0</v>
      </c>
      <c r="AG296" s="24">
        <f t="shared" si="427"/>
        <v>0</v>
      </c>
      <c r="AH296" s="24">
        <f t="shared" si="428"/>
        <v>0</v>
      </c>
      <c r="AI296" s="10" t="s">
        <v>43</v>
      </c>
      <c r="AJ296" s="24">
        <f t="shared" si="429"/>
        <v>0</v>
      </c>
      <c r="AK296" s="24">
        <f t="shared" si="430"/>
        <v>0</v>
      </c>
      <c r="AL296" s="24">
        <f t="shared" si="431"/>
        <v>0</v>
      </c>
      <c r="AN296" s="24">
        <v>21</v>
      </c>
      <c r="AO296" s="24">
        <f t="shared" si="432"/>
        <v>0</v>
      </c>
      <c r="AP296" s="24">
        <f t="shared" si="433"/>
        <v>0</v>
      </c>
      <c r="AQ296" s="26" t="s">
        <v>46</v>
      </c>
      <c r="AV296" s="24">
        <f t="shared" si="434"/>
        <v>0</v>
      </c>
      <c r="AW296" s="24">
        <f t="shared" si="435"/>
        <v>0</v>
      </c>
      <c r="AX296" s="24">
        <f t="shared" si="436"/>
        <v>0</v>
      </c>
      <c r="AY296" s="26" t="s">
        <v>833</v>
      </c>
      <c r="AZ296" s="26" t="s">
        <v>427</v>
      </c>
      <c r="BA296" s="10" t="s">
        <v>52</v>
      </c>
      <c r="BC296" s="24">
        <f t="shared" si="437"/>
        <v>0</v>
      </c>
      <c r="BD296" s="24">
        <f t="shared" si="438"/>
        <v>0</v>
      </c>
      <c r="BE296" s="24">
        <v>0</v>
      </c>
      <c r="BF296" s="24">
        <f>293</f>
        <v>293</v>
      </c>
      <c r="BH296" s="24">
        <f t="shared" si="439"/>
        <v>0</v>
      </c>
      <c r="BI296" s="24">
        <f t="shared" si="440"/>
        <v>0</v>
      </c>
      <c r="BJ296" s="24">
        <f t="shared" si="441"/>
        <v>0</v>
      </c>
      <c r="BK296" s="26" t="s">
        <v>53</v>
      </c>
      <c r="BL296" s="24"/>
      <c r="BW296" s="24">
        <v>21</v>
      </c>
      <c r="BX296" s="4" t="s">
        <v>877</v>
      </c>
    </row>
    <row r="297" spans="1:76" ht="14.4" x14ac:dyDescent="0.3">
      <c r="A297" s="2" t="s">
        <v>878</v>
      </c>
      <c r="B297" s="3" t="s">
        <v>831</v>
      </c>
      <c r="C297" s="82" t="s">
        <v>879</v>
      </c>
      <c r="D297" s="81"/>
      <c r="E297" s="3" t="s">
        <v>91</v>
      </c>
      <c r="F297" s="24">
        <v>170</v>
      </c>
      <c r="G297" s="180">
        <v>0</v>
      </c>
      <c r="H297" s="24">
        <f t="shared" si="418"/>
        <v>0</v>
      </c>
      <c r="I297" s="24">
        <f t="shared" si="419"/>
        <v>0</v>
      </c>
      <c r="J297" s="24">
        <f t="shared" si="420"/>
        <v>0</v>
      </c>
      <c r="K297" s="25"/>
      <c r="Z297" s="24">
        <f t="shared" si="421"/>
        <v>0</v>
      </c>
      <c r="AB297" s="24">
        <f t="shared" si="422"/>
        <v>0</v>
      </c>
      <c r="AC297" s="24">
        <f t="shared" si="423"/>
        <v>0</v>
      </c>
      <c r="AD297" s="24">
        <f t="shared" si="424"/>
        <v>0</v>
      </c>
      <c r="AE297" s="24">
        <f t="shared" si="425"/>
        <v>0</v>
      </c>
      <c r="AF297" s="24">
        <f t="shared" si="426"/>
        <v>0</v>
      </c>
      <c r="AG297" s="24">
        <f t="shared" si="427"/>
        <v>0</v>
      </c>
      <c r="AH297" s="24">
        <f t="shared" si="428"/>
        <v>0</v>
      </c>
      <c r="AI297" s="10" t="s">
        <v>43</v>
      </c>
      <c r="AJ297" s="24">
        <f t="shared" si="429"/>
        <v>0</v>
      </c>
      <c r="AK297" s="24">
        <f t="shared" si="430"/>
        <v>0</v>
      </c>
      <c r="AL297" s="24">
        <f t="shared" si="431"/>
        <v>0</v>
      </c>
      <c r="AN297" s="24">
        <v>21</v>
      </c>
      <c r="AO297" s="24">
        <f t="shared" si="432"/>
        <v>0</v>
      </c>
      <c r="AP297" s="24">
        <f t="shared" si="433"/>
        <v>0</v>
      </c>
      <c r="AQ297" s="26" t="s">
        <v>46</v>
      </c>
      <c r="AV297" s="24">
        <f t="shared" si="434"/>
        <v>0</v>
      </c>
      <c r="AW297" s="24">
        <f t="shared" si="435"/>
        <v>0</v>
      </c>
      <c r="AX297" s="24">
        <f t="shared" si="436"/>
        <v>0</v>
      </c>
      <c r="AY297" s="26" t="s">
        <v>833</v>
      </c>
      <c r="AZ297" s="26" t="s">
        <v>427</v>
      </c>
      <c r="BA297" s="10" t="s">
        <v>52</v>
      </c>
      <c r="BC297" s="24">
        <f t="shared" si="437"/>
        <v>0</v>
      </c>
      <c r="BD297" s="24">
        <f t="shared" si="438"/>
        <v>0</v>
      </c>
      <c r="BE297" s="24">
        <v>0</v>
      </c>
      <c r="BF297" s="24">
        <f>294</f>
        <v>294</v>
      </c>
      <c r="BH297" s="24">
        <f t="shared" si="439"/>
        <v>0</v>
      </c>
      <c r="BI297" s="24">
        <f t="shared" si="440"/>
        <v>0</v>
      </c>
      <c r="BJ297" s="24">
        <f t="shared" si="441"/>
        <v>0</v>
      </c>
      <c r="BK297" s="26" t="s">
        <v>53</v>
      </c>
      <c r="BL297" s="24"/>
      <c r="BW297" s="24">
        <v>21</v>
      </c>
      <c r="BX297" s="4" t="s">
        <v>879</v>
      </c>
    </row>
    <row r="298" spans="1:76" ht="14.4" x14ac:dyDescent="0.3">
      <c r="A298" s="2" t="s">
        <v>880</v>
      </c>
      <c r="B298" s="3" t="s">
        <v>831</v>
      </c>
      <c r="C298" s="82" t="s">
        <v>881</v>
      </c>
      <c r="D298" s="81"/>
      <c r="E298" s="3" t="s">
        <v>91</v>
      </c>
      <c r="F298" s="24">
        <v>670</v>
      </c>
      <c r="G298" s="180">
        <v>0</v>
      </c>
      <c r="H298" s="24">
        <f t="shared" si="418"/>
        <v>0</v>
      </c>
      <c r="I298" s="24">
        <f t="shared" si="419"/>
        <v>0</v>
      </c>
      <c r="J298" s="24">
        <f t="shared" si="420"/>
        <v>0</v>
      </c>
      <c r="K298" s="25"/>
      <c r="Z298" s="24">
        <f t="shared" si="421"/>
        <v>0</v>
      </c>
      <c r="AB298" s="24">
        <f t="shared" si="422"/>
        <v>0</v>
      </c>
      <c r="AC298" s="24">
        <f t="shared" si="423"/>
        <v>0</v>
      </c>
      <c r="AD298" s="24">
        <f t="shared" si="424"/>
        <v>0</v>
      </c>
      <c r="AE298" s="24">
        <f t="shared" si="425"/>
        <v>0</v>
      </c>
      <c r="AF298" s="24">
        <f t="shared" si="426"/>
        <v>0</v>
      </c>
      <c r="AG298" s="24">
        <f t="shared" si="427"/>
        <v>0</v>
      </c>
      <c r="AH298" s="24">
        <f t="shared" si="428"/>
        <v>0</v>
      </c>
      <c r="AI298" s="10" t="s">
        <v>43</v>
      </c>
      <c r="AJ298" s="24">
        <f t="shared" si="429"/>
        <v>0</v>
      </c>
      <c r="AK298" s="24">
        <f t="shared" si="430"/>
        <v>0</v>
      </c>
      <c r="AL298" s="24">
        <f t="shared" si="431"/>
        <v>0</v>
      </c>
      <c r="AN298" s="24">
        <v>21</v>
      </c>
      <c r="AO298" s="24">
        <f t="shared" si="432"/>
        <v>0</v>
      </c>
      <c r="AP298" s="24">
        <f t="shared" si="433"/>
        <v>0</v>
      </c>
      <c r="AQ298" s="26" t="s">
        <v>46</v>
      </c>
      <c r="AV298" s="24">
        <f t="shared" si="434"/>
        <v>0</v>
      </c>
      <c r="AW298" s="24">
        <f t="shared" si="435"/>
        <v>0</v>
      </c>
      <c r="AX298" s="24">
        <f t="shared" si="436"/>
        <v>0</v>
      </c>
      <c r="AY298" s="26" t="s">
        <v>833</v>
      </c>
      <c r="AZ298" s="26" t="s">
        <v>427</v>
      </c>
      <c r="BA298" s="10" t="s">
        <v>52</v>
      </c>
      <c r="BC298" s="24">
        <f t="shared" si="437"/>
        <v>0</v>
      </c>
      <c r="BD298" s="24">
        <f t="shared" si="438"/>
        <v>0</v>
      </c>
      <c r="BE298" s="24">
        <v>0</v>
      </c>
      <c r="BF298" s="24">
        <f>295</f>
        <v>295</v>
      </c>
      <c r="BH298" s="24">
        <f t="shared" si="439"/>
        <v>0</v>
      </c>
      <c r="BI298" s="24">
        <f t="shared" si="440"/>
        <v>0</v>
      </c>
      <c r="BJ298" s="24">
        <f t="shared" si="441"/>
        <v>0</v>
      </c>
      <c r="BK298" s="26" t="s">
        <v>53</v>
      </c>
      <c r="BL298" s="24"/>
      <c r="BW298" s="24">
        <v>21</v>
      </c>
      <c r="BX298" s="4" t="s">
        <v>881</v>
      </c>
    </row>
    <row r="299" spans="1:76" ht="14.4" x14ac:dyDescent="0.3">
      <c r="A299" s="2" t="s">
        <v>882</v>
      </c>
      <c r="B299" s="3" t="s">
        <v>831</v>
      </c>
      <c r="C299" s="82" t="s">
        <v>883</v>
      </c>
      <c r="D299" s="81"/>
      <c r="E299" s="3" t="s">
        <v>91</v>
      </c>
      <c r="F299" s="24">
        <v>120</v>
      </c>
      <c r="G299" s="180">
        <v>0</v>
      </c>
      <c r="H299" s="24">
        <f t="shared" si="418"/>
        <v>0</v>
      </c>
      <c r="I299" s="24">
        <f t="shared" si="419"/>
        <v>0</v>
      </c>
      <c r="J299" s="24">
        <f t="shared" si="420"/>
        <v>0</v>
      </c>
      <c r="K299" s="25"/>
      <c r="Z299" s="24">
        <f t="shared" si="421"/>
        <v>0</v>
      </c>
      <c r="AB299" s="24">
        <f t="shared" si="422"/>
        <v>0</v>
      </c>
      <c r="AC299" s="24">
        <f t="shared" si="423"/>
        <v>0</v>
      </c>
      <c r="AD299" s="24">
        <f t="shared" si="424"/>
        <v>0</v>
      </c>
      <c r="AE299" s="24">
        <f t="shared" si="425"/>
        <v>0</v>
      </c>
      <c r="AF299" s="24">
        <f t="shared" si="426"/>
        <v>0</v>
      </c>
      <c r="AG299" s="24">
        <f t="shared" si="427"/>
        <v>0</v>
      </c>
      <c r="AH299" s="24">
        <f t="shared" si="428"/>
        <v>0</v>
      </c>
      <c r="AI299" s="10" t="s">
        <v>43</v>
      </c>
      <c r="AJ299" s="24">
        <f t="shared" si="429"/>
        <v>0</v>
      </c>
      <c r="AK299" s="24">
        <f t="shared" si="430"/>
        <v>0</v>
      </c>
      <c r="AL299" s="24">
        <f t="shared" si="431"/>
        <v>0</v>
      </c>
      <c r="AN299" s="24">
        <v>21</v>
      </c>
      <c r="AO299" s="24">
        <f t="shared" si="432"/>
        <v>0</v>
      </c>
      <c r="AP299" s="24">
        <f t="shared" si="433"/>
        <v>0</v>
      </c>
      <c r="AQ299" s="26" t="s">
        <v>46</v>
      </c>
      <c r="AV299" s="24">
        <f t="shared" si="434"/>
        <v>0</v>
      </c>
      <c r="AW299" s="24">
        <f t="shared" si="435"/>
        <v>0</v>
      </c>
      <c r="AX299" s="24">
        <f t="shared" si="436"/>
        <v>0</v>
      </c>
      <c r="AY299" s="26" t="s">
        <v>833</v>
      </c>
      <c r="AZ299" s="26" t="s">
        <v>427</v>
      </c>
      <c r="BA299" s="10" t="s">
        <v>52</v>
      </c>
      <c r="BC299" s="24">
        <f t="shared" si="437"/>
        <v>0</v>
      </c>
      <c r="BD299" s="24">
        <f t="shared" si="438"/>
        <v>0</v>
      </c>
      <c r="BE299" s="24">
        <v>0</v>
      </c>
      <c r="BF299" s="24">
        <f>296</f>
        <v>296</v>
      </c>
      <c r="BH299" s="24">
        <f t="shared" si="439"/>
        <v>0</v>
      </c>
      <c r="BI299" s="24">
        <f t="shared" si="440"/>
        <v>0</v>
      </c>
      <c r="BJ299" s="24">
        <f t="shared" si="441"/>
        <v>0</v>
      </c>
      <c r="BK299" s="26" t="s">
        <v>53</v>
      </c>
      <c r="BL299" s="24"/>
      <c r="BW299" s="24">
        <v>21</v>
      </c>
      <c r="BX299" s="4" t="s">
        <v>883</v>
      </c>
    </row>
    <row r="300" spans="1:76" ht="14.4" x14ac:dyDescent="0.3">
      <c r="A300" s="2" t="s">
        <v>884</v>
      </c>
      <c r="B300" s="3" t="s">
        <v>831</v>
      </c>
      <c r="C300" s="82" t="s">
        <v>885</v>
      </c>
      <c r="D300" s="81"/>
      <c r="E300" s="3" t="s">
        <v>91</v>
      </c>
      <c r="F300" s="24">
        <v>15</v>
      </c>
      <c r="G300" s="180">
        <v>0</v>
      </c>
      <c r="H300" s="24">
        <f t="shared" si="418"/>
        <v>0</v>
      </c>
      <c r="I300" s="24">
        <f t="shared" si="419"/>
        <v>0</v>
      </c>
      <c r="J300" s="24">
        <f t="shared" si="420"/>
        <v>0</v>
      </c>
      <c r="K300" s="25"/>
      <c r="Z300" s="24">
        <f t="shared" si="421"/>
        <v>0</v>
      </c>
      <c r="AB300" s="24">
        <f t="shared" si="422"/>
        <v>0</v>
      </c>
      <c r="AC300" s="24">
        <f t="shared" si="423"/>
        <v>0</v>
      </c>
      <c r="AD300" s="24">
        <f t="shared" si="424"/>
        <v>0</v>
      </c>
      <c r="AE300" s="24">
        <f t="shared" si="425"/>
        <v>0</v>
      </c>
      <c r="AF300" s="24">
        <f t="shared" si="426"/>
        <v>0</v>
      </c>
      <c r="AG300" s="24">
        <f t="shared" si="427"/>
        <v>0</v>
      </c>
      <c r="AH300" s="24">
        <f t="shared" si="428"/>
        <v>0</v>
      </c>
      <c r="AI300" s="10" t="s">
        <v>43</v>
      </c>
      <c r="AJ300" s="24">
        <f t="shared" si="429"/>
        <v>0</v>
      </c>
      <c r="AK300" s="24">
        <f t="shared" si="430"/>
        <v>0</v>
      </c>
      <c r="AL300" s="24">
        <f t="shared" si="431"/>
        <v>0</v>
      </c>
      <c r="AN300" s="24">
        <v>21</v>
      </c>
      <c r="AO300" s="24">
        <f t="shared" si="432"/>
        <v>0</v>
      </c>
      <c r="AP300" s="24">
        <f t="shared" si="433"/>
        <v>0</v>
      </c>
      <c r="AQ300" s="26" t="s">
        <v>46</v>
      </c>
      <c r="AV300" s="24">
        <f t="shared" si="434"/>
        <v>0</v>
      </c>
      <c r="AW300" s="24">
        <f t="shared" si="435"/>
        <v>0</v>
      </c>
      <c r="AX300" s="24">
        <f t="shared" si="436"/>
        <v>0</v>
      </c>
      <c r="AY300" s="26" t="s">
        <v>833</v>
      </c>
      <c r="AZ300" s="26" t="s">
        <v>427</v>
      </c>
      <c r="BA300" s="10" t="s">
        <v>52</v>
      </c>
      <c r="BC300" s="24">
        <f t="shared" si="437"/>
        <v>0</v>
      </c>
      <c r="BD300" s="24">
        <f t="shared" si="438"/>
        <v>0</v>
      </c>
      <c r="BE300" s="24">
        <v>0</v>
      </c>
      <c r="BF300" s="24">
        <f>297</f>
        <v>297</v>
      </c>
      <c r="BH300" s="24">
        <f t="shared" si="439"/>
        <v>0</v>
      </c>
      <c r="BI300" s="24">
        <f t="shared" si="440"/>
        <v>0</v>
      </c>
      <c r="BJ300" s="24">
        <f t="shared" si="441"/>
        <v>0</v>
      </c>
      <c r="BK300" s="26" t="s">
        <v>53</v>
      </c>
      <c r="BL300" s="24"/>
      <c r="BW300" s="24">
        <v>21</v>
      </c>
      <c r="BX300" s="4" t="s">
        <v>885</v>
      </c>
    </row>
    <row r="301" spans="1:76" ht="14.4" x14ac:dyDescent="0.3">
      <c r="A301" s="2" t="s">
        <v>886</v>
      </c>
      <c r="B301" s="3" t="s">
        <v>831</v>
      </c>
      <c r="C301" s="82" t="s">
        <v>887</v>
      </c>
      <c r="D301" s="81"/>
      <c r="E301" s="3" t="s">
        <v>91</v>
      </c>
      <c r="F301" s="24">
        <v>80</v>
      </c>
      <c r="G301" s="180">
        <v>0</v>
      </c>
      <c r="H301" s="24">
        <f t="shared" si="418"/>
        <v>0</v>
      </c>
      <c r="I301" s="24">
        <f t="shared" si="419"/>
        <v>0</v>
      </c>
      <c r="J301" s="24">
        <f t="shared" si="420"/>
        <v>0</v>
      </c>
      <c r="K301" s="25"/>
      <c r="Z301" s="24">
        <f t="shared" si="421"/>
        <v>0</v>
      </c>
      <c r="AB301" s="24">
        <f t="shared" si="422"/>
        <v>0</v>
      </c>
      <c r="AC301" s="24">
        <f t="shared" si="423"/>
        <v>0</v>
      </c>
      <c r="AD301" s="24">
        <f t="shared" si="424"/>
        <v>0</v>
      </c>
      <c r="AE301" s="24">
        <f t="shared" si="425"/>
        <v>0</v>
      </c>
      <c r="AF301" s="24">
        <f t="shared" si="426"/>
        <v>0</v>
      </c>
      <c r="AG301" s="24">
        <f t="shared" si="427"/>
        <v>0</v>
      </c>
      <c r="AH301" s="24">
        <f t="shared" si="428"/>
        <v>0</v>
      </c>
      <c r="AI301" s="10" t="s">
        <v>43</v>
      </c>
      <c r="AJ301" s="24">
        <f t="shared" si="429"/>
        <v>0</v>
      </c>
      <c r="AK301" s="24">
        <f t="shared" si="430"/>
        <v>0</v>
      </c>
      <c r="AL301" s="24">
        <f t="shared" si="431"/>
        <v>0</v>
      </c>
      <c r="AN301" s="24">
        <v>21</v>
      </c>
      <c r="AO301" s="24">
        <f t="shared" si="432"/>
        <v>0</v>
      </c>
      <c r="AP301" s="24">
        <f t="shared" si="433"/>
        <v>0</v>
      </c>
      <c r="AQ301" s="26" t="s">
        <v>46</v>
      </c>
      <c r="AV301" s="24">
        <f t="shared" si="434"/>
        <v>0</v>
      </c>
      <c r="AW301" s="24">
        <f t="shared" si="435"/>
        <v>0</v>
      </c>
      <c r="AX301" s="24">
        <f t="shared" si="436"/>
        <v>0</v>
      </c>
      <c r="AY301" s="26" t="s">
        <v>833</v>
      </c>
      <c r="AZ301" s="26" t="s">
        <v>427</v>
      </c>
      <c r="BA301" s="10" t="s">
        <v>52</v>
      </c>
      <c r="BC301" s="24">
        <f t="shared" si="437"/>
        <v>0</v>
      </c>
      <c r="BD301" s="24">
        <f t="shared" si="438"/>
        <v>0</v>
      </c>
      <c r="BE301" s="24">
        <v>0</v>
      </c>
      <c r="BF301" s="24">
        <f>298</f>
        <v>298</v>
      </c>
      <c r="BH301" s="24">
        <f t="shared" si="439"/>
        <v>0</v>
      </c>
      <c r="BI301" s="24">
        <f t="shared" si="440"/>
        <v>0</v>
      </c>
      <c r="BJ301" s="24">
        <f t="shared" si="441"/>
        <v>0</v>
      </c>
      <c r="BK301" s="26" t="s">
        <v>53</v>
      </c>
      <c r="BL301" s="24"/>
      <c r="BW301" s="24">
        <v>21</v>
      </c>
      <c r="BX301" s="4" t="s">
        <v>887</v>
      </c>
    </row>
    <row r="302" spans="1:76" ht="14.4" x14ac:dyDescent="0.3">
      <c r="A302" s="2" t="s">
        <v>888</v>
      </c>
      <c r="B302" s="3" t="s">
        <v>831</v>
      </c>
      <c r="C302" s="82" t="s">
        <v>889</v>
      </c>
      <c r="D302" s="81"/>
      <c r="E302" s="3" t="s">
        <v>91</v>
      </c>
      <c r="F302" s="24">
        <v>60</v>
      </c>
      <c r="G302" s="180">
        <v>0</v>
      </c>
      <c r="H302" s="24">
        <f t="shared" si="418"/>
        <v>0</v>
      </c>
      <c r="I302" s="24">
        <f t="shared" si="419"/>
        <v>0</v>
      </c>
      <c r="J302" s="24">
        <f t="shared" si="420"/>
        <v>0</v>
      </c>
      <c r="K302" s="25"/>
      <c r="Z302" s="24">
        <f t="shared" si="421"/>
        <v>0</v>
      </c>
      <c r="AB302" s="24">
        <f t="shared" si="422"/>
        <v>0</v>
      </c>
      <c r="AC302" s="24">
        <f t="shared" si="423"/>
        <v>0</v>
      </c>
      <c r="AD302" s="24">
        <f t="shared" si="424"/>
        <v>0</v>
      </c>
      <c r="AE302" s="24">
        <f t="shared" si="425"/>
        <v>0</v>
      </c>
      <c r="AF302" s="24">
        <f t="shared" si="426"/>
        <v>0</v>
      </c>
      <c r="AG302" s="24">
        <f t="shared" si="427"/>
        <v>0</v>
      </c>
      <c r="AH302" s="24">
        <f t="shared" si="428"/>
        <v>0</v>
      </c>
      <c r="AI302" s="10" t="s">
        <v>43</v>
      </c>
      <c r="AJ302" s="24">
        <f t="shared" si="429"/>
        <v>0</v>
      </c>
      <c r="AK302" s="24">
        <f t="shared" si="430"/>
        <v>0</v>
      </c>
      <c r="AL302" s="24">
        <f t="shared" si="431"/>
        <v>0</v>
      </c>
      <c r="AN302" s="24">
        <v>21</v>
      </c>
      <c r="AO302" s="24">
        <f t="shared" si="432"/>
        <v>0</v>
      </c>
      <c r="AP302" s="24">
        <f t="shared" si="433"/>
        <v>0</v>
      </c>
      <c r="AQ302" s="26" t="s">
        <v>46</v>
      </c>
      <c r="AV302" s="24">
        <f t="shared" si="434"/>
        <v>0</v>
      </c>
      <c r="AW302" s="24">
        <f t="shared" si="435"/>
        <v>0</v>
      </c>
      <c r="AX302" s="24">
        <f t="shared" si="436"/>
        <v>0</v>
      </c>
      <c r="AY302" s="26" t="s">
        <v>833</v>
      </c>
      <c r="AZ302" s="26" t="s">
        <v>427</v>
      </c>
      <c r="BA302" s="10" t="s">
        <v>52</v>
      </c>
      <c r="BC302" s="24">
        <f t="shared" si="437"/>
        <v>0</v>
      </c>
      <c r="BD302" s="24">
        <f t="shared" si="438"/>
        <v>0</v>
      </c>
      <c r="BE302" s="24">
        <v>0</v>
      </c>
      <c r="BF302" s="24">
        <f>299</f>
        <v>299</v>
      </c>
      <c r="BH302" s="24">
        <f t="shared" si="439"/>
        <v>0</v>
      </c>
      <c r="BI302" s="24">
        <f t="shared" si="440"/>
        <v>0</v>
      </c>
      <c r="BJ302" s="24">
        <f t="shared" si="441"/>
        <v>0</v>
      </c>
      <c r="BK302" s="26" t="s">
        <v>53</v>
      </c>
      <c r="BL302" s="24"/>
      <c r="BW302" s="24">
        <v>21</v>
      </c>
      <c r="BX302" s="4" t="s">
        <v>889</v>
      </c>
    </row>
    <row r="303" spans="1:76" ht="14.4" x14ac:dyDescent="0.3">
      <c r="A303" s="2" t="s">
        <v>890</v>
      </c>
      <c r="B303" s="3" t="s">
        <v>831</v>
      </c>
      <c r="C303" s="82" t="s">
        <v>891</v>
      </c>
      <c r="D303" s="81"/>
      <c r="E303" s="3" t="s">
        <v>91</v>
      </c>
      <c r="F303" s="24">
        <v>120</v>
      </c>
      <c r="G303" s="180">
        <v>0</v>
      </c>
      <c r="H303" s="24">
        <f t="shared" si="418"/>
        <v>0</v>
      </c>
      <c r="I303" s="24">
        <f t="shared" si="419"/>
        <v>0</v>
      </c>
      <c r="J303" s="24">
        <f t="shared" si="420"/>
        <v>0</v>
      </c>
      <c r="K303" s="25"/>
      <c r="Z303" s="24">
        <f t="shared" si="421"/>
        <v>0</v>
      </c>
      <c r="AB303" s="24">
        <f t="shared" si="422"/>
        <v>0</v>
      </c>
      <c r="AC303" s="24">
        <f t="shared" si="423"/>
        <v>0</v>
      </c>
      <c r="AD303" s="24">
        <f t="shared" si="424"/>
        <v>0</v>
      </c>
      <c r="AE303" s="24">
        <f t="shared" si="425"/>
        <v>0</v>
      </c>
      <c r="AF303" s="24">
        <f t="shared" si="426"/>
        <v>0</v>
      </c>
      <c r="AG303" s="24">
        <f t="shared" si="427"/>
        <v>0</v>
      </c>
      <c r="AH303" s="24">
        <f t="shared" si="428"/>
        <v>0</v>
      </c>
      <c r="AI303" s="10" t="s">
        <v>43</v>
      </c>
      <c r="AJ303" s="24">
        <f t="shared" si="429"/>
        <v>0</v>
      </c>
      <c r="AK303" s="24">
        <f t="shared" si="430"/>
        <v>0</v>
      </c>
      <c r="AL303" s="24">
        <f t="shared" si="431"/>
        <v>0</v>
      </c>
      <c r="AN303" s="24">
        <v>21</v>
      </c>
      <c r="AO303" s="24">
        <f t="shared" si="432"/>
        <v>0</v>
      </c>
      <c r="AP303" s="24">
        <f t="shared" si="433"/>
        <v>0</v>
      </c>
      <c r="AQ303" s="26" t="s">
        <v>46</v>
      </c>
      <c r="AV303" s="24">
        <f t="shared" si="434"/>
        <v>0</v>
      </c>
      <c r="AW303" s="24">
        <f t="shared" si="435"/>
        <v>0</v>
      </c>
      <c r="AX303" s="24">
        <f t="shared" si="436"/>
        <v>0</v>
      </c>
      <c r="AY303" s="26" t="s">
        <v>833</v>
      </c>
      <c r="AZ303" s="26" t="s">
        <v>427</v>
      </c>
      <c r="BA303" s="10" t="s">
        <v>52</v>
      </c>
      <c r="BC303" s="24">
        <f t="shared" si="437"/>
        <v>0</v>
      </c>
      <c r="BD303" s="24">
        <f t="shared" si="438"/>
        <v>0</v>
      </c>
      <c r="BE303" s="24">
        <v>0</v>
      </c>
      <c r="BF303" s="24">
        <f>300</f>
        <v>300</v>
      </c>
      <c r="BH303" s="24">
        <f t="shared" si="439"/>
        <v>0</v>
      </c>
      <c r="BI303" s="24">
        <f t="shared" si="440"/>
        <v>0</v>
      </c>
      <c r="BJ303" s="24">
        <f t="shared" si="441"/>
        <v>0</v>
      </c>
      <c r="BK303" s="26" t="s">
        <v>53</v>
      </c>
      <c r="BL303" s="24"/>
      <c r="BW303" s="24">
        <v>21</v>
      </c>
      <c r="BX303" s="4" t="s">
        <v>891</v>
      </c>
    </row>
    <row r="304" spans="1:76" ht="14.4" x14ac:dyDescent="0.3">
      <c r="A304" s="2" t="s">
        <v>892</v>
      </c>
      <c r="B304" s="3" t="s">
        <v>831</v>
      </c>
      <c r="C304" s="82" t="s">
        <v>893</v>
      </c>
      <c r="D304" s="81"/>
      <c r="E304" s="3" t="s">
        <v>91</v>
      </c>
      <c r="F304" s="24">
        <v>60</v>
      </c>
      <c r="G304" s="180">
        <v>0</v>
      </c>
      <c r="H304" s="24">
        <f t="shared" si="418"/>
        <v>0</v>
      </c>
      <c r="I304" s="24">
        <f t="shared" si="419"/>
        <v>0</v>
      </c>
      <c r="J304" s="24">
        <f t="shared" si="420"/>
        <v>0</v>
      </c>
      <c r="K304" s="25"/>
      <c r="Z304" s="24">
        <f t="shared" si="421"/>
        <v>0</v>
      </c>
      <c r="AB304" s="24">
        <f t="shared" si="422"/>
        <v>0</v>
      </c>
      <c r="AC304" s="24">
        <f t="shared" si="423"/>
        <v>0</v>
      </c>
      <c r="AD304" s="24">
        <f t="shared" si="424"/>
        <v>0</v>
      </c>
      <c r="AE304" s="24">
        <f t="shared" si="425"/>
        <v>0</v>
      </c>
      <c r="AF304" s="24">
        <f t="shared" si="426"/>
        <v>0</v>
      </c>
      <c r="AG304" s="24">
        <f t="shared" si="427"/>
        <v>0</v>
      </c>
      <c r="AH304" s="24">
        <f t="shared" si="428"/>
        <v>0</v>
      </c>
      <c r="AI304" s="10" t="s">
        <v>43</v>
      </c>
      <c r="AJ304" s="24">
        <f t="shared" si="429"/>
        <v>0</v>
      </c>
      <c r="AK304" s="24">
        <f t="shared" si="430"/>
        <v>0</v>
      </c>
      <c r="AL304" s="24">
        <f t="shared" si="431"/>
        <v>0</v>
      </c>
      <c r="AN304" s="24">
        <v>21</v>
      </c>
      <c r="AO304" s="24">
        <f t="shared" si="432"/>
        <v>0</v>
      </c>
      <c r="AP304" s="24">
        <f t="shared" si="433"/>
        <v>0</v>
      </c>
      <c r="AQ304" s="26" t="s">
        <v>46</v>
      </c>
      <c r="AV304" s="24">
        <f t="shared" si="434"/>
        <v>0</v>
      </c>
      <c r="AW304" s="24">
        <f t="shared" si="435"/>
        <v>0</v>
      </c>
      <c r="AX304" s="24">
        <f t="shared" si="436"/>
        <v>0</v>
      </c>
      <c r="AY304" s="26" t="s">
        <v>833</v>
      </c>
      <c r="AZ304" s="26" t="s">
        <v>427</v>
      </c>
      <c r="BA304" s="10" t="s">
        <v>52</v>
      </c>
      <c r="BC304" s="24">
        <f t="shared" si="437"/>
        <v>0</v>
      </c>
      <c r="BD304" s="24">
        <f t="shared" si="438"/>
        <v>0</v>
      </c>
      <c r="BE304" s="24">
        <v>0</v>
      </c>
      <c r="BF304" s="24">
        <f>301</f>
        <v>301</v>
      </c>
      <c r="BH304" s="24">
        <f t="shared" si="439"/>
        <v>0</v>
      </c>
      <c r="BI304" s="24">
        <f t="shared" si="440"/>
        <v>0</v>
      </c>
      <c r="BJ304" s="24">
        <f t="shared" si="441"/>
        <v>0</v>
      </c>
      <c r="BK304" s="26" t="s">
        <v>53</v>
      </c>
      <c r="BL304" s="24"/>
      <c r="BW304" s="24">
        <v>21</v>
      </c>
      <c r="BX304" s="4" t="s">
        <v>893</v>
      </c>
    </row>
    <row r="305" spans="1:76" ht="14.4" x14ac:dyDescent="0.3">
      <c r="A305" s="2" t="s">
        <v>894</v>
      </c>
      <c r="B305" s="3" t="s">
        <v>831</v>
      </c>
      <c r="C305" s="82" t="s">
        <v>895</v>
      </c>
      <c r="D305" s="81"/>
      <c r="E305" s="3" t="s">
        <v>174</v>
      </c>
      <c r="F305" s="24">
        <v>10</v>
      </c>
      <c r="G305" s="180">
        <v>0</v>
      </c>
      <c r="H305" s="24">
        <f t="shared" si="418"/>
        <v>0</v>
      </c>
      <c r="I305" s="24">
        <f t="shared" si="419"/>
        <v>0</v>
      </c>
      <c r="J305" s="24">
        <f t="shared" si="420"/>
        <v>0</v>
      </c>
      <c r="K305" s="25"/>
      <c r="Z305" s="24">
        <f t="shared" si="421"/>
        <v>0</v>
      </c>
      <c r="AB305" s="24">
        <f t="shared" si="422"/>
        <v>0</v>
      </c>
      <c r="AC305" s="24">
        <f t="shared" si="423"/>
        <v>0</v>
      </c>
      <c r="AD305" s="24">
        <f t="shared" si="424"/>
        <v>0</v>
      </c>
      <c r="AE305" s="24">
        <f t="shared" si="425"/>
        <v>0</v>
      </c>
      <c r="AF305" s="24">
        <f t="shared" si="426"/>
        <v>0</v>
      </c>
      <c r="AG305" s="24">
        <f t="shared" si="427"/>
        <v>0</v>
      </c>
      <c r="AH305" s="24">
        <f t="shared" si="428"/>
        <v>0</v>
      </c>
      <c r="AI305" s="10" t="s">
        <v>43</v>
      </c>
      <c r="AJ305" s="24">
        <f t="shared" si="429"/>
        <v>0</v>
      </c>
      <c r="AK305" s="24">
        <f t="shared" si="430"/>
        <v>0</v>
      </c>
      <c r="AL305" s="24">
        <f t="shared" si="431"/>
        <v>0</v>
      </c>
      <c r="AN305" s="24">
        <v>21</v>
      </c>
      <c r="AO305" s="24">
        <f t="shared" si="432"/>
        <v>0</v>
      </c>
      <c r="AP305" s="24">
        <f t="shared" si="433"/>
        <v>0</v>
      </c>
      <c r="AQ305" s="26" t="s">
        <v>46</v>
      </c>
      <c r="AV305" s="24">
        <f t="shared" si="434"/>
        <v>0</v>
      </c>
      <c r="AW305" s="24">
        <f t="shared" si="435"/>
        <v>0</v>
      </c>
      <c r="AX305" s="24">
        <f t="shared" si="436"/>
        <v>0</v>
      </c>
      <c r="AY305" s="26" t="s">
        <v>833</v>
      </c>
      <c r="AZ305" s="26" t="s">
        <v>427</v>
      </c>
      <c r="BA305" s="10" t="s">
        <v>52</v>
      </c>
      <c r="BC305" s="24">
        <f t="shared" si="437"/>
        <v>0</v>
      </c>
      <c r="BD305" s="24">
        <f t="shared" si="438"/>
        <v>0</v>
      </c>
      <c r="BE305" s="24">
        <v>0</v>
      </c>
      <c r="BF305" s="24">
        <f>302</f>
        <v>302</v>
      </c>
      <c r="BH305" s="24">
        <f t="shared" si="439"/>
        <v>0</v>
      </c>
      <c r="BI305" s="24">
        <f t="shared" si="440"/>
        <v>0</v>
      </c>
      <c r="BJ305" s="24">
        <f t="shared" si="441"/>
        <v>0</v>
      </c>
      <c r="BK305" s="26" t="s">
        <v>53</v>
      </c>
      <c r="BL305" s="24"/>
      <c r="BW305" s="24">
        <v>21</v>
      </c>
      <c r="BX305" s="4" t="s">
        <v>895</v>
      </c>
    </row>
    <row r="306" spans="1:76" ht="14.4" x14ac:dyDescent="0.3">
      <c r="A306" s="2" t="s">
        <v>896</v>
      </c>
      <c r="B306" s="3" t="s">
        <v>831</v>
      </c>
      <c r="C306" s="82" t="s">
        <v>897</v>
      </c>
      <c r="D306" s="81"/>
      <c r="E306" s="3" t="s">
        <v>174</v>
      </c>
      <c r="F306" s="24">
        <v>6</v>
      </c>
      <c r="G306" s="180">
        <v>0</v>
      </c>
      <c r="H306" s="24">
        <f t="shared" ref="H306:H327" si="442">ROUND(F306*AO306,2)</f>
        <v>0</v>
      </c>
      <c r="I306" s="24">
        <f t="shared" ref="I306:I327" si="443">ROUND(F306*AP306,2)</f>
        <v>0</v>
      </c>
      <c r="J306" s="24">
        <f t="shared" ref="J306:J327" si="444">ROUND(F306*G306,2)</f>
        <v>0</v>
      </c>
      <c r="K306" s="25"/>
      <c r="Z306" s="24">
        <f t="shared" ref="Z306:Z327" si="445">ROUND(IF(AQ306="5",BJ306,0),2)</f>
        <v>0</v>
      </c>
      <c r="AB306" s="24">
        <f t="shared" ref="AB306:AB327" si="446">ROUND(IF(AQ306="1",BH306,0),2)</f>
        <v>0</v>
      </c>
      <c r="AC306" s="24">
        <f t="shared" ref="AC306:AC327" si="447">ROUND(IF(AQ306="1",BI306,0),2)</f>
        <v>0</v>
      </c>
      <c r="AD306" s="24">
        <f t="shared" ref="AD306:AD327" si="448">ROUND(IF(AQ306="7",BH306,0),2)</f>
        <v>0</v>
      </c>
      <c r="AE306" s="24">
        <f t="shared" ref="AE306:AE327" si="449">ROUND(IF(AQ306="7",BI306,0),2)</f>
        <v>0</v>
      </c>
      <c r="AF306" s="24">
        <f t="shared" ref="AF306:AF327" si="450">ROUND(IF(AQ306="2",BH306,0),2)</f>
        <v>0</v>
      </c>
      <c r="AG306" s="24">
        <f t="shared" ref="AG306:AG327" si="451">ROUND(IF(AQ306="2",BI306,0),2)</f>
        <v>0</v>
      </c>
      <c r="AH306" s="24">
        <f t="shared" ref="AH306:AH327" si="452">ROUND(IF(AQ306="0",BJ306,0),2)</f>
        <v>0</v>
      </c>
      <c r="AI306" s="10" t="s">
        <v>43</v>
      </c>
      <c r="AJ306" s="24">
        <f t="shared" ref="AJ306:AJ327" si="453">IF(AN306=0,J306,0)</f>
        <v>0</v>
      </c>
      <c r="AK306" s="24">
        <f t="shared" ref="AK306:AK327" si="454">IF(AN306=12,J306,0)</f>
        <v>0</v>
      </c>
      <c r="AL306" s="24">
        <f t="shared" ref="AL306:AL327" si="455">IF(AN306=21,J306,0)</f>
        <v>0</v>
      </c>
      <c r="AN306" s="24">
        <v>21</v>
      </c>
      <c r="AO306" s="24">
        <f t="shared" ref="AO306:AO327" si="456">G306*0</f>
        <v>0</v>
      </c>
      <c r="AP306" s="24">
        <f t="shared" ref="AP306:AP327" si="457">G306*(1-0)</f>
        <v>0</v>
      </c>
      <c r="AQ306" s="26" t="s">
        <v>46</v>
      </c>
      <c r="AV306" s="24">
        <f t="shared" ref="AV306:AV327" si="458">ROUND(AW306+AX306,2)</f>
        <v>0</v>
      </c>
      <c r="AW306" s="24">
        <f t="shared" ref="AW306:AW327" si="459">ROUND(F306*AO306,2)</f>
        <v>0</v>
      </c>
      <c r="AX306" s="24">
        <f t="shared" ref="AX306:AX327" si="460">ROUND(F306*AP306,2)</f>
        <v>0</v>
      </c>
      <c r="AY306" s="26" t="s">
        <v>833</v>
      </c>
      <c r="AZ306" s="26" t="s">
        <v>427</v>
      </c>
      <c r="BA306" s="10" t="s">
        <v>52</v>
      </c>
      <c r="BC306" s="24">
        <f t="shared" ref="BC306:BC327" si="461">AW306+AX306</f>
        <v>0</v>
      </c>
      <c r="BD306" s="24">
        <f t="shared" ref="BD306:BD327" si="462">G306/(100-BE306)*100</f>
        <v>0</v>
      </c>
      <c r="BE306" s="24">
        <v>0</v>
      </c>
      <c r="BF306" s="24">
        <f>303</f>
        <v>303</v>
      </c>
      <c r="BH306" s="24">
        <f t="shared" ref="BH306:BH327" si="463">F306*AO306</f>
        <v>0</v>
      </c>
      <c r="BI306" s="24">
        <f t="shared" ref="BI306:BI327" si="464">F306*AP306</f>
        <v>0</v>
      </c>
      <c r="BJ306" s="24">
        <f t="shared" ref="BJ306:BJ327" si="465">F306*G306</f>
        <v>0</v>
      </c>
      <c r="BK306" s="26" t="s">
        <v>53</v>
      </c>
      <c r="BL306" s="24"/>
      <c r="BW306" s="24">
        <v>21</v>
      </c>
      <c r="BX306" s="4" t="s">
        <v>897</v>
      </c>
    </row>
    <row r="307" spans="1:76" ht="14.4" x14ac:dyDescent="0.3">
      <c r="A307" s="2" t="s">
        <v>898</v>
      </c>
      <c r="B307" s="3" t="s">
        <v>831</v>
      </c>
      <c r="C307" s="82" t="s">
        <v>899</v>
      </c>
      <c r="D307" s="81"/>
      <c r="E307" s="3" t="s">
        <v>91</v>
      </c>
      <c r="F307" s="24">
        <v>40</v>
      </c>
      <c r="G307" s="180">
        <v>0</v>
      </c>
      <c r="H307" s="24">
        <f t="shared" si="442"/>
        <v>0</v>
      </c>
      <c r="I307" s="24">
        <f t="shared" si="443"/>
        <v>0</v>
      </c>
      <c r="J307" s="24">
        <f t="shared" si="444"/>
        <v>0</v>
      </c>
      <c r="K307" s="25"/>
      <c r="Z307" s="24">
        <f t="shared" si="445"/>
        <v>0</v>
      </c>
      <c r="AB307" s="24">
        <f t="shared" si="446"/>
        <v>0</v>
      </c>
      <c r="AC307" s="24">
        <f t="shared" si="447"/>
        <v>0</v>
      </c>
      <c r="AD307" s="24">
        <f t="shared" si="448"/>
        <v>0</v>
      </c>
      <c r="AE307" s="24">
        <f t="shared" si="449"/>
        <v>0</v>
      </c>
      <c r="AF307" s="24">
        <f t="shared" si="450"/>
        <v>0</v>
      </c>
      <c r="AG307" s="24">
        <f t="shared" si="451"/>
        <v>0</v>
      </c>
      <c r="AH307" s="24">
        <f t="shared" si="452"/>
        <v>0</v>
      </c>
      <c r="AI307" s="10" t="s">
        <v>43</v>
      </c>
      <c r="AJ307" s="24">
        <f t="shared" si="453"/>
        <v>0</v>
      </c>
      <c r="AK307" s="24">
        <f t="shared" si="454"/>
        <v>0</v>
      </c>
      <c r="AL307" s="24">
        <f t="shared" si="455"/>
        <v>0</v>
      </c>
      <c r="AN307" s="24">
        <v>21</v>
      </c>
      <c r="AO307" s="24">
        <f t="shared" si="456"/>
        <v>0</v>
      </c>
      <c r="AP307" s="24">
        <f t="shared" si="457"/>
        <v>0</v>
      </c>
      <c r="AQ307" s="26" t="s">
        <v>46</v>
      </c>
      <c r="AV307" s="24">
        <f t="shared" si="458"/>
        <v>0</v>
      </c>
      <c r="AW307" s="24">
        <f t="shared" si="459"/>
        <v>0</v>
      </c>
      <c r="AX307" s="24">
        <f t="shared" si="460"/>
        <v>0</v>
      </c>
      <c r="AY307" s="26" t="s">
        <v>833</v>
      </c>
      <c r="AZ307" s="26" t="s">
        <v>427</v>
      </c>
      <c r="BA307" s="10" t="s">
        <v>52</v>
      </c>
      <c r="BC307" s="24">
        <f t="shared" si="461"/>
        <v>0</v>
      </c>
      <c r="BD307" s="24">
        <f t="shared" si="462"/>
        <v>0</v>
      </c>
      <c r="BE307" s="24">
        <v>0</v>
      </c>
      <c r="BF307" s="24">
        <f>304</f>
        <v>304</v>
      </c>
      <c r="BH307" s="24">
        <f t="shared" si="463"/>
        <v>0</v>
      </c>
      <c r="BI307" s="24">
        <f t="shared" si="464"/>
        <v>0</v>
      </c>
      <c r="BJ307" s="24">
        <f t="shared" si="465"/>
        <v>0</v>
      </c>
      <c r="BK307" s="26" t="s">
        <v>53</v>
      </c>
      <c r="BL307" s="24"/>
      <c r="BW307" s="24">
        <v>21</v>
      </c>
      <c r="BX307" s="4" t="s">
        <v>899</v>
      </c>
    </row>
    <row r="308" spans="1:76" ht="14.4" x14ac:dyDescent="0.3">
      <c r="A308" s="2" t="s">
        <v>900</v>
      </c>
      <c r="B308" s="3" t="s">
        <v>831</v>
      </c>
      <c r="C308" s="82" t="s">
        <v>901</v>
      </c>
      <c r="D308" s="81"/>
      <c r="E308" s="3" t="s">
        <v>91</v>
      </c>
      <c r="F308" s="24">
        <v>30</v>
      </c>
      <c r="G308" s="180">
        <v>0</v>
      </c>
      <c r="H308" s="24">
        <f t="shared" si="442"/>
        <v>0</v>
      </c>
      <c r="I308" s="24">
        <f t="shared" si="443"/>
        <v>0</v>
      </c>
      <c r="J308" s="24">
        <f t="shared" si="444"/>
        <v>0</v>
      </c>
      <c r="K308" s="25"/>
      <c r="Z308" s="24">
        <f t="shared" si="445"/>
        <v>0</v>
      </c>
      <c r="AB308" s="24">
        <f t="shared" si="446"/>
        <v>0</v>
      </c>
      <c r="AC308" s="24">
        <f t="shared" si="447"/>
        <v>0</v>
      </c>
      <c r="AD308" s="24">
        <f t="shared" si="448"/>
        <v>0</v>
      </c>
      <c r="AE308" s="24">
        <f t="shared" si="449"/>
        <v>0</v>
      </c>
      <c r="AF308" s="24">
        <f t="shared" si="450"/>
        <v>0</v>
      </c>
      <c r="AG308" s="24">
        <f t="shared" si="451"/>
        <v>0</v>
      </c>
      <c r="AH308" s="24">
        <f t="shared" si="452"/>
        <v>0</v>
      </c>
      <c r="AI308" s="10" t="s">
        <v>43</v>
      </c>
      <c r="AJ308" s="24">
        <f t="shared" si="453"/>
        <v>0</v>
      </c>
      <c r="AK308" s="24">
        <f t="shared" si="454"/>
        <v>0</v>
      </c>
      <c r="AL308" s="24">
        <f t="shared" si="455"/>
        <v>0</v>
      </c>
      <c r="AN308" s="24">
        <v>21</v>
      </c>
      <c r="AO308" s="24">
        <f t="shared" si="456"/>
        <v>0</v>
      </c>
      <c r="AP308" s="24">
        <f t="shared" si="457"/>
        <v>0</v>
      </c>
      <c r="AQ308" s="26" t="s">
        <v>46</v>
      </c>
      <c r="AV308" s="24">
        <f t="shared" si="458"/>
        <v>0</v>
      </c>
      <c r="AW308" s="24">
        <f t="shared" si="459"/>
        <v>0</v>
      </c>
      <c r="AX308" s="24">
        <f t="shared" si="460"/>
        <v>0</v>
      </c>
      <c r="AY308" s="26" t="s">
        <v>833</v>
      </c>
      <c r="AZ308" s="26" t="s">
        <v>427</v>
      </c>
      <c r="BA308" s="10" t="s">
        <v>52</v>
      </c>
      <c r="BC308" s="24">
        <f t="shared" si="461"/>
        <v>0</v>
      </c>
      <c r="BD308" s="24">
        <f t="shared" si="462"/>
        <v>0</v>
      </c>
      <c r="BE308" s="24">
        <v>0</v>
      </c>
      <c r="BF308" s="24">
        <f>305</f>
        <v>305</v>
      </c>
      <c r="BH308" s="24">
        <f t="shared" si="463"/>
        <v>0</v>
      </c>
      <c r="BI308" s="24">
        <f t="shared" si="464"/>
        <v>0</v>
      </c>
      <c r="BJ308" s="24">
        <f t="shared" si="465"/>
        <v>0</v>
      </c>
      <c r="BK308" s="26" t="s">
        <v>53</v>
      </c>
      <c r="BL308" s="24"/>
      <c r="BW308" s="24">
        <v>21</v>
      </c>
      <c r="BX308" s="4" t="s">
        <v>901</v>
      </c>
    </row>
    <row r="309" spans="1:76" ht="14.4" x14ac:dyDescent="0.3">
      <c r="A309" s="2" t="s">
        <v>902</v>
      </c>
      <c r="B309" s="3" t="s">
        <v>831</v>
      </c>
      <c r="C309" s="82" t="s">
        <v>903</v>
      </c>
      <c r="D309" s="81"/>
      <c r="E309" s="3" t="s">
        <v>91</v>
      </c>
      <c r="F309" s="24">
        <v>25</v>
      </c>
      <c r="G309" s="180">
        <v>0</v>
      </c>
      <c r="H309" s="24">
        <f t="shared" si="442"/>
        <v>0</v>
      </c>
      <c r="I309" s="24">
        <f t="shared" si="443"/>
        <v>0</v>
      </c>
      <c r="J309" s="24">
        <f t="shared" si="444"/>
        <v>0</v>
      </c>
      <c r="K309" s="25"/>
      <c r="Z309" s="24">
        <f t="shared" si="445"/>
        <v>0</v>
      </c>
      <c r="AB309" s="24">
        <f t="shared" si="446"/>
        <v>0</v>
      </c>
      <c r="AC309" s="24">
        <f t="shared" si="447"/>
        <v>0</v>
      </c>
      <c r="AD309" s="24">
        <f t="shared" si="448"/>
        <v>0</v>
      </c>
      <c r="AE309" s="24">
        <f t="shared" si="449"/>
        <v>0</v>
      </c>
      <c r="AF309" s="24">
        <f t="shared" si="450"/>
        <v>0</v>
      </c>
      <c r="AG309" s="24">
        <f t="shared" si="451"/>
        <v>0</v>
      </c>
      <c r="AH309" s="24">
        <f t="shared" si="452"/>
        <v>0</v>
      </c>
      <c r="AI309" s="10" t="s">
        <v>43</v>
      </c>
      <c r="AJ309" s="24">
        <f t="shared" si="453"/>
        <v>0</v>
      </c>
      <c r="AK309" s="24">
        <f t="shared" si="454"/>
        <v>0</v>
      </c>
      <c r="AL309" s="24">
        <f t="shared" si="455"/>
        <v>0</v>
      </c>
      <c r="AN309" s="24">
        <v>21</v>
      </c>
      <c r="AO309" s="24">
        <f t="shared" si="456"/>
        <v>0</v>
      </c>
      <c r="AP309" s="24">
        <f t="shared" si="457"/>
        <v>0</v>
      </c>
      <c r="AQ309" s="26" t="s">
        <v>46</v>
      </c>
      <c r="AV309" s="24">
        <f t="shared" si="458"/>
        <v>0</v>
      </c>
      <c r="AW309" s="24">
        <f t="shared" si="459"/>
        <v>0</v>
      </c>
      <c r="AX309" s="24">
        <f t="shared" si="460"/>
        <v>0</v>
      </c>
      <c r="AY309" s="26" t="s">
        <v>833</v>
      </c>
      <c r="AZ309" s="26" t="s">
        <v>427</v>
      </c>
      <c r="BA309" s="10" t="s">
        <v>52</v>
      </c>
      <c r="BC309" s="24">
        <f t="shared" si="461"/>
        <v>0</v>
      </c>
      <c r="BD309" s="24">
        <f t="shared" si="462"/>
        <v>0</v>
      </c>
      <c r="BE309" s="24">
        <v>0</v>
      </c>
      <c r="BF309" s="24">
        <f>306</f>
        <v>306</v>
      </c>
      <c r="BH309" s="24">
        <f t="shared" si="463"/>
        <v>0</v>
      </c>
      <c r="BI309" s="24">
        <f t="shared" si="464"/>
        <v>0</v>
      </c>
      <c r="BJ309" s="24">
        <f t="shared" si="465"/>
        <v>0</v>
      </c>
      <c r="BK309" s="26" t="s">
        <v>53</v>
      </c>
      <c r="BL309" s="24"/>
      <c r="BW309" s="24">
        <v>21</v>
      </c>
      <c r="BX309" s="4" t="s">
        <v>903</v>
      </c>
    </row>
    <row r="310" spans="1:76" ht="14.4" x14ac:dyDescent="0.3">
      <c r="A310" s="2" t="s">
        <v>904</v>
      </c>
      <c r="B310" s="3" t="s">
        <v>831</v>
      </c>
      <c r="C310" s="82" t="s">
        <v>905</v>
      </c>
      <c r="D310" s="81"/>
      <c r="E310" s="3" t="s">
        <v>91</v>
      </c>
      <c r="F310" s="24">
        <v>15</v>
      </c>
      <c r="G310" s="180">
        <v>0</v>
      </c>
      <c r="H310" s="24">
        <f t="shared" si="442"/>
        <v>0</v>
      </c>
      <c r="I310" s="24">
        <f t="shared" si="443"/>
        <v>0</v>
      </c>
      <c r="J310" s="24">
        <f t="shared" si="444"/>
        <v>0</v>
      </c>
      <c r="K310" s="25"/>
      <c r="Z310" s="24">
        <f t="shared" si="445"/>
        <v>0</v>
      </c>
      <c r="AB310" s="24">
        <f t="shared" si="446"/>
        <v>0</v>
      </c>
      <c r="AC310" s="24">
        <f t="shared" si="447"/>
        <v>0</v>
      </c>
      <c r="AD310" s="24">
        <f t="shared" si="448"/>
        <v>0</v>
      </c>
      <c r="AE310" s="24">
        <f t="shared" si="449"/>
        <v>0</v>
      </c>
      <c r="AF310" s="24">
        <f t="shared" si="450"/>
        <v>0</v>
      </c>
      <c r="AG310" s="24">
        <f t="shared" si="451"/>
        <v>0</v>
      </c>
      <c r="AH310" s="24">
        <f t="shared" si="452"/>
        <v>0</v>
      </c>
      <c r="AI310" s="10" t="s">
        <v>43</v>
      </c>
      <c r="AJ310" s="24">
        <f t="shared" si="453"/>
        <v>0</v>
      </c>
      <c r="AK310" s="24">
        <f t="shared" si="454"/>
        <v>0</v>
      </c>
      <c r="AL310" s="24">
        <f t="shared" si="455"/>
        <v>0</v>
      </c>
      <c r="AN310" s="24">
        <v>21</v>
      </c>
      <c r="AO310" s="24">
        <f t="shared" si="456"/>
        <v>0</v>
      </c>
      <c r="AP310" s="24">
        <f t="shared" si="457"/>
        <v>0</v>
      </c>
      <c r="AQ310" s="26" t="s">
        <v>46</v>
      </c>
      <c r="AV310" s="24">
        <f t="shared" si="458"/>
        <v>0</v>
      </c>
      <c r="AW310" s="24">
        <f t="shared" si="459"/>
        <v>0</v>
      </c>
      <c r="AX310" s="24">
        <f t="shared" si="460"/>
        <v>0</v>
      </c>
      <c r="AY310" s="26" t="s">
        <v>833</v>
      </c>
      <c r="AZ310" s="26" t="s">
        <v>427</v>
      </c>
      <c r="BA310" s="10" t="s">
        <v>52</v>
      </c>
      <c r="BC310" s="24">
        <f t="shared" si="461"/>
        <v>0</v>
      </c>
      <c r="BD310" s="24">
        <f t="shared" si="462"/>
        <v>0</v>
      </c>
      <c r="BE310" s="24">
        <v>0</v>
      </c>
      <c r="BF310" s="24">
        <f>307</f>
        <v>307</v>
      </c>
      <c r="BH310" s="24">
        <f t="shared" si="463"/>
        <v>0</v>
      </c>
      <c r="BI310" s="24">
        <f t="shared" si="464"/>
        <v>0</v>
      </c>
      <c r="BJ310" s="24">
        <f t="shared" si="465"/>
        <v>0</v>
      </c>
      <c r="BK310" s="26" t="s">
        <v>53</v>
      </c>
      <c r="BL310" s="24"/>
      <c r="BW310" s="24">
        <v>21</v>
      </c>
      <c r="BX310" s="4" t="s">
        <v>905</v>
      </c>
    </row>
    <row r="311" spans="1:76" ht="14.4" x14ac:dyDescent="0.3">
      <c r="A311" s="2" t="s">
        <v>906</v>
      </c>
      <c r="B311" s="3" t="s">
        <v>831</v>
      </c>
      <c r="C311" s="82" t="s">
        <v>907</v>
      </c>
      <c r="D311" s="81"/>
      <c r="E311" s="3" t="s">
        <v>174</v>
      </c>
      <c r="F311" s="24">
        <v>4</v>
      </c>
      <c r="G311" s="180">
        <v>0</v>
      </c>
      <c r="H311" s="24">
        <f t="shared" si="442"/>
        <v>0</v>
      </c>
      <c r="I311" s="24">
        <f t="shared" si="443"/>
        <v>0</v>
      </c>
      <c r="J311" s="24">
        <f t="shared" si="444"/>
        <v>0</v>
      </c>
      <c r="K311" s="25"/>
      <c r="Z311" s="24">
        <f t="shared" si="445"/>
        <v>0</v>
      </c>
      <c r="AB311" s="24">
        <f t="shared" si="446"/>
        <v>0</v>
      </c>
      <c r="AC311" s="24">
        <f t="shared" si="447"/>
        <v>0</v>
      </c>
      <c r="AD311" s="24">
        <f t="shared" si="448"/>
        <v>0</v>
      </c>
      <c r="AE311" s="24">
        <f t="shared" si="449"/>
        <v>0</v>
      </c>
      <c r="AF311" s="24">
        <f t="shared" si="450"/>
        <v>0</v>
      </c>
      <c r="AG311" s="24">
        <f t="shared" si="451"/>
        <v>0</v>
      </c>
      <c r="AH311" s="24">
        <f t="shared" si="452"/>
        <v>0</v>
      </c>
      <c r="AI311" s="10" t="s">
        <v>43</v>
      </c>
      <c r="AJ311" s="24">
        <f t="shared" si="453"/>
        <v>0</v>
      </c>
      <c r="AK311" s="24">
        <f t="shared" si="454"/>
        <v>0</v>
      </c>
      <c r="AL311" s="24">
        <f t="shared" si="455"/>
        <v>0</v>
      </c>
      <c r="AN311" s="24">
        <v>21</v>
      </c>
      <c r="AO311" s="24">
        <f t="shared" si="456"/>
        <v>0</v>
      </c>
      <c r="AP311" s="24">
        <f t="shared" si="457"/>
        <v>0</v>
      </c>
      <c r="AQ311" s="26" t="s">
        <v>46</v>
      </c>
      <c r="AV311" s="24">
        <f t="shared" si="458"/>
        <v>0</v>
      </c>
      <c r="AW311" s="24">
        <f t="shared" si="459"/>
        <v>0</v>
      </c>
      <c r="AX311" s="24">
        <f t="shared" si="460"/>
        <v>0</v>
      </c>
      <c r="AY311" s="26" t="s">
        <v>833</v>
      </c>
      <c r="AZ311" s="26" t="s">
        <v>427</v>
      </c>
      <c r="BA311" s="10" t="s">
        <v>52</v>
      </c>
      <c r="BC311" s="24">
        <f t="shared" si="461"/>
        <v>0</v>
      </c>
      <c r="BD311" s="24">
        <f t="shared" si="462"/>
        <v>0</v>
      </c>
      <c r="BE311" s="24">
        <v>0</v>
      </c>
      <c r="BF311" s="24">
        <f>308</f>
        <v>308</v>
      </c>
      <c r="BH311" s="24">
        <f t="shared" si="463"/>
        <v>0</v>
      </c>
      <c r="BI311" s="24">
        <f t="shared" si="464"/>
        <v>0</v>
      </c>
      <c r="BJ311" s="24">
        <f t="shared" si="465"/>
        <v>0</v>
      </c>
      <c r="BK311" s="26" t="s">
        <v>53</v>
      </c>
      <c r="BL311" s="24"/>
      <c r="BW311" s="24">
        <v>21</v>
      </c>
      <c r="BX311" s="4" t="s">
        <v>907</v>
      </c>
    </row>
    <row r="312" spans="1:76" ht="14.4" x14ac:dyDescent="0.3">
      <c r="A312" s="2" t="s">
        <v>908</v>
      </c>
      <c r="B312" s="3" t="s">
        <v>831</v>
      </c>
      <c r="C312" s="82" t="s">
        <v>909</v>
      </c>
      <c r="D312" s="81"/>
      <c r="E312" s="3" t="s">
        <v>174</v>
      </c>
      <c r="F312" s="24">
        <v>2</v>
      </c>
      <c r="G312" s="180">
        <v>0</v>
      </c>
      <c r="H312" s="24">
        <f t="shared" si="442"/>
        <v>0</v>
      </c>
      <c r="I312" s="24">
        <f t="shared" si="443"/>
        <v>0</v>
      </c>
      <c r="J312" s="24">
        <f t="shared" si="444"/>
        <v>0</v>
      </c>
      <c r="K312" s="25"/>
      <c r="Z312" s="24">
        <f t="shared" si="445"/>
        <v>0</v>
      </c>
      <c r="AB312" s="24">
        <f t="shared" si="446"/>
        <v>0</v>
      </c>
      <c r="AC312" s="24">
        <f t="shared" si="447"/>
        <v>0</v>
      </c>
      <c r="AD312" s="24">
        <f t="shared" si="448"/>
        <v>0</v>
      </c>
      <c r="AE312" s="24">
        <f t="shared" si="449"/>
        <v>0</v>
      </c>
      <c r="AF312" s="24">
        <f t="shared" si="450"/>
        <v>0</v>
      </c>
      <c r="AG312" s="24">
        <f t="shared" si="451"/>
        <v>0</v>
      </c>
      <c r="AH312" s="24">
        <f t="shared" si="452"/>
        <v>0</v>
      </c>
      <c r="AI312" s="10" t="s">
        <v>43</v>
      </c>
      <c r="AJ312" s="24">
        <f t="shared" si="453"/>
        <v>0</v>
      </c>
      <c r="AK312" s="24">
        <f t="shared" si="454"/>
        <v>0</v>
      </c>
      <c r="AL312" s="24">
        <f t="shared" si="455"/>
        <v>0</v>
      </c>
      <c r="AN312" s="24">
        <v>21</v>
      </c>
      <c r="AO312" s="24">
        <f t="shared" si="456"/>
        <v>0</v>
      </c>
      <c r="AP312" s="24">
        <f t="shared" si="457"/>
        <v>0</v>
      </c>
      <c r="AQ312" s="26" t="s">
        <v>46</v>
      </c>
      <c r="AV312" s="24">
        <f t="shared" si="458"/>
        <v>0</v>
      </c>
      <c r="AW312" s="24">
        <f t="shared" si="459"/>
        <v>0</v>
      </c>
      <c r="AX312" s="24">
        <f t="shared" si="460"/>
        <v>0</v>
      </c>
      <c r="AY312" s="26" t="s">
        <v>833</v>
      </c>
      <c r="AZ312" s="26" t="s">
        <v>427</v>
      </c>
      <c r="BA312" s="10" t="s">
        <v>52</v>
      </c>
      <c r="BC312" s="24">
        <f t="shared" si="461"/>
        <v>0</v>
      </c>
      <c r="BD312" s="24">
        <f t="shared" si="462"/>
        <v>0</v>
      </c>
      <c r="BE312" s="24">
        <v>0</v>
      </c>
      <c r="BF312" s="24">
        <f>309</f>
        <v>309</v>
      </c>
      <c r="BH312" s="24">
        <f t="shared" si="463"/>
        <v>0</v>
      </c>
      <c r="BI312" s="24">
        <f t="shared" si="464"/>
        <v>0</v>
      </c>
      <c r="BJ312" s="24">
        <f t="shared" si="465"/>
        <v>0</v>
      </c>
      <c r="BK312" s="26" t="s">
        <v>53</v>
      </c>
      <c r="BL312" s="24"/>
      <c r="BW312" s="24">
        <v>21</v>
      </c>
      <c r="BX312" s="4" t="s">
        <v>909</v>
      </c>
    </row>
    <row r="313" spans="1:76" ht="14.4" x14ac:dyDescent="0.3">
      <c r="A313" s="2" t="s">
        <v>910</v>
      </c>
      <c r="B313" s="3" t="s">
        <v>831</v>
      </c>
      <c r="C313" s="82" t="s">
        <v>911</v>
      </c>
      <c r="D313" s="81"/>
      <c r="E313" s="3" t="s">
        <v>174</v>
      </c>
      <c r="F313" s="24">
        <v>2</v>
      </c>
      <c r="G313" s="180">
        <v>0</v>
      </c>
      <c r="H313" s="24">
        <f t="shared" si="442"/>
        <v>0</v>
      </c>
      <c r="I313" s="24">
        <f t="shared" si="443"/>
        <v>0</v>
      </c>
      <c r="J313" s="24">
        <f t="shared" si="444"/>
        <v>0</v>
      </c>
      <c r="K313" s="25"/>
      <c r="Z313" s="24">
        <f t="shared" si="445"/>
        <v>0</v>
      </c>
      <c r="AB313" s="24">
        <f t="shared" si="446"/>
        <v>0</v>
      </c>
      <c r="AC313" s="24">
        <f t="shared" si="447"/>
        <v>0</v>
      </c>
      <c r="AD313" s="24">
        <f t="shared" si="448"/>
        <v>0</v>
      </c>
      <c r="AE313" s="24">
        <f t="shared" si="449"/>
        <v>0</v>
      </c>
      <c r="AF313" s="24">
        <f t="shared" si="450"/>
        <v>0</v>
      </c>
      <c r="AG313" s="24">
        <f t="shared" si="451"/>
        <v>0</v>
      </c>
      <c r="AH313" s="24">
        <f t="shared" si="452"/>
        <v>0</v>
      </c>
      <c r="AI313" s="10" t="s">
        <v>43</v>
      </c>
      <c r="AJ313" s="24">
        <f t="shared" si="453"/>
        <v>0</v>
      </c>
      <c r="AK313" s="24">
        <f t="shared" si="454"/>
        <v>0</v>
      </c>
      <c r="AL313" s="24">
        <f t="shared" si="455"/>
        <v>0</v>
      </c>
      <c r="AN313" s="24">
        <v>21</v>
      </c>
      <c r="AO313" s="24">
        <f t="shared" si="456"/>
        <v>0</v>
      </c>
      <c r="AP313" s="24">
        <f t="shared" si="457"/>
        <v>0</v>
      </c>
      <c r="AQ313" s="26" t="s">
        <v>46</v>
      </c>
      <c r="AV313" s="24">
        <f t="shared" si="458"/>
        <v>0</v>
      </c>
      <c r="AW313" s="24">
        <f t="shared" si="459"/>
        <v>0</v>
      </c>
      <c r="AX313" s="24">
        <f t="shared" si="460"/>
        <v>0</v>
      </c>
      <c r="AY313" s="26" t="s">
        <v>833</v>
      </c>
      <c r="AZ313" s="26" t="s">
        <v>427</v>
      </c>
      <c r="BA313" s="10" t="s">
        <v>52</v>
      </c>
      <c r="BC313" s="24">
        <f t="shared" si="461"/>
        <v>0</v>
      </c>
      <c r="BD313" s="24">
        <f t="shared" si="462"/>
        <v>0</v>
      </c>
      <c r="BE313" s="24">
        <v>0</v>
      </c>
      <c r="BF313" s="24">
        <f>310</f>
        <v>310</v>
      </c>
      <c r="BH313" s="24">
        <f t="shared" si="463"/>
        <v>0</v>
      </c>
      <c r="BI313" s="24">
        <f t="shared" si="464"/>
        <v>0</v>
      </c>
      <c r="BJ313" s="24">
        <f t="shared" si="465"/>
        <v>0</v>
      </c>
      <c r="BK313" s="26" t="s">
        <v>53</v>
      </c>
      <c r="BL313" s="24"/>
      <c r="BW313" s="24">
        <v>21</v>
      </c>
      <c r="BX313" s="4" t="s">
        <v>911</v>
      </c>
    </row>
    <row r="314" spans="1:76" ht="14.4" x14ac:dyDescent="0.3">
      <c r="A314" s="2" t="s">
        <v>912</v>
      </c>
      <c r="B314" s="3" t="s">
        <v>831</v>
      </c>
      <c r="C314" s="82" t="s">
        <v>913</v>
      </c>
      <c r="D314" s="81"/>
      <c r="E314" s="3" t="s">
        <v>174</v>
      </c>
      <c r="F314" s="24">
        <v>1</v>
      </c>
      <c r="G314" s="180">
        <v>0</v>
      </c>
      <c r="H314" s="24">
        <f t="shared" si="442"/>
        <v>0</v>
      </c>
      <c r="I314" s="24">
        <f t="shared" si="443"/>
        <v>0</v>
      </c>
      <c r="J314" s="24">
        <f t="shared" si="444"/>
        <v>0</v>
      </c>
      <c r="K314" s="25"/>
      <c r="Z314" s="24">
        <f t="shared" si="445"/>
        <v>0</v>
      </c>
      <c r="AB314" s="24">
        <f t="shared" si="446"/>
        <v>0</v>
      </c>
      <c r="AC314" s="24">
        <f t="shared" si="447"/>
        <v>0</v>
      </c>
      <c r="AD314" s="24">
        <f t="shared" si="448"/>
        <v>0</v>
      </c>
      <c r="AE314" s="24">
        <f t="shared" si="449"/>
        <v>0</v>
      </c>
      <c r="AF314" s="24">
        <f t="shared" si="450"/>
        <v>0</v>
      </c>
      <c r="AG314" s="24">
        <f t="shared" si="451"/>
        <v>0</v>
      </c>
      <c r="AH314" s="24">
        <f t="shared" si="452"/>
        <v>0</v>
      </c>
      <c r="AI314" s="10" t="s">
        <v>43</v>
      </c>
      <c r="AJ314" s="24">
        <f t="shared" si="453"/>
        <v>0</v>
      </c>
      <c r="AK314" s="24">
        <f t="shared" si="454"/>
        <v>0</v>
      </c>
      <c r="AL314" s="24">
        <f t="shared" si="455"/>
        <v>0</v>
      </c>
      <c r="AN314" s="24">
        <v>21</v>
      </c>
      <c r="AO314" s="24">
        <f t="shared" si="456"/>
        <v>0</v>
      </c>
      <c r="AP314" s="24">
        <f t="shared" si="457"/>
        <v>0</v>
      </c>
      <c r="AQ314" s="26" t="s">
        <v>46</v>
      </c>
      <c r="AV314" s="24">
        <f t="shared" si="458"/>
        <v>0</v>
      </c>
      <c r="AW314" s="24">
        <f t="shared" si="459"/>
        <v>0</v>
      </c>
      <c r="AX314" s="24">
        <f t="shared" si="460"/>
        <v>0</v>
      </c>
      <c r="AY314" s="26" t="s">
        <v>833</v>
      </c>
      <c r="AZ314" s="26" t="s">
        <v>427</v>
      </c>
      <c r="BA314" s="10" t="s">
        <v>52</v>
      </c>
      <c r="BC314" s="24">
        <f t="shared" si="461"/>
        <v>0</v>
      </c>
      <c r="BD314" s="24">
        <f t="shared" si="462"/>
        <v>0</v>
      </c>
      <c r="BE314" s="24">
        <v>0</v>
      </c>
      <c r="BF314" s="24">
        <f>311</f>
        <v>311</v>
      </c>
      <c r="BH314" s="24">
        <f t="shared" si="463"/>
        <v>0</v>
      </c>
      <c r="BI314" s="24">
        <f t="shared" si="464"/>
        <v>0</v>
      </c>
      <c r="BJ314" s="24">
        <f t="shared" si="465"/>
        <v>0</v>
      </c>
      <c r="BK314" s="26" t="s">
        <v>53</v>
      </c>
      <c r="BL314" s="24"/>
      <c r="BW314" s="24">
        <v>21</v>
      </c>
      <c r="BX314" s="4" t="s">
        <v>913</v>
      </c>
    </row>
    <row r="315" spans="1:76" ht="26.4" x14ac:dyDescent="0.3">
      <c r="A315" s="2" t="s">
        <v>914</v>
      </c>
      <c r="B315" s="3" t="s">
        <v>831</v>
      </c>
      <c r="C315" s="82" t="s">
        <v>915</v>
      </c>
      <c r="D315" s="81"/>
      <c r="E315" s="3" t="s">
        <v>261</v>
      </c>
      <c r="F315" s="24">
        <v>1.1000000000000001</v>
      </c>
      <c r="G315" s="180">
        <v>0</v>
      </c>
      <c r="H315" s="24">
        <f t="shared" si="442"/>
        <v>0</v>
      </c>
      <c r="I315" s="24">
        <f t="shared" si="443"/>
        <v>0</v>
      </c>
      <c r="J315" s="24">
        <f t="shared" si="444"/>
        <v>0</v>
      </c>
      <c r="K315" s="25"/>
      <c r="Z315" s="24">
        <f t="shared" si="445"/>
        <v>0</v>
      </c>
      <c r="AB315" s="24">
        <f t="shared" si="446"/>
        <v>0</v>
      </c>
      <c r="AC315" s="24">
        <f t="shared" si="447"/>
        <v>0</v>
      </c>
      <c r="AD315" s="24">
        <f t="shared" si="448"/>
        <v>0</v>
      </c>
      <c r="AE315" s="24">
        <f t="shared" si="449"/>
        <v>0</v>
      </c>
      <c r="AF315" s="24">
        <f t="shared" si="450"/>
        <v>0</v>
      </c>
      <c r="AG315" s="24">
        <f t="shared" si="451"/>
        <v>0</v>
      </c>
      <c r="AH315" s="24">
        <f t="shared" si="452"/>
        <v>0</v>
      </c>
      <c r="AI315" s="10" t="s">
        <v>43</v>
      </c>
      <c r="AJ315" s="24">
        <f t="shared" si="453"/>
        <v>0</v>
      </c>
      <c r="AK315" s="24">
        <f t="shared" si="454"/>
        <v>0</v>
      </c>
      <c r="AL315" s="24">
        <f t="shared" si="455"/>
        <v>0</v>
      </c>
      <c r="AN315" s="24">
        <v>21</v>
      </c>
      <c r="AO315" s="24">
        <f t="shared" si="456"/>
        <v>0</v>
      </c>
      <c r="AP315" s="24">
        <f t="shared" si="457"/>
        <v>0</v>
      </c>
      <c r="AQ315" s="26" t="s">
        <v>46</v>
      </c>
      <c r="AV315" s="24">
        <f t="shared" si="458"/>
        <v>0</v>
      </c>
      <c r="AW315" s="24">
        <f t="shared" si="459"/>
        <v>0</v>
      </c>
      <c r="AX315" s="24">
        <f t="shared" si="460"/>
        <v>0</v>
      </c>
      <c r="AY315" s="26" t="s">
        <v>833</v>
      </c>
      <c r="AZ315" s="26" t="s">
        <v>427</v>
      </c>
      <c r="BA315" s="10" t="s">
        <v>52</v>
      </c>
      <c r="BC315" s="24">
        <f t="shared" si="461"/>
        <v>0</v>
      </c>
      <c r="BD315" s="24">
        <f t="shared" si="462"/>
        <v>0</v>
      </c>
      <c r="BE315" s="24">
        <v>0</v>
      </c>
      <c r="BF315" s="24">
        <f>312</f>
        <v>312</v>
      </c>
      <c r="BH315" s="24">
        <f t="shared" si="463"/>
        <v>0</v>
      </c>
      <c r="BI315" s="24">
        <f t="shared" si="464"/>
        <v>0</v>
      </c>
      <c r="BJ315" s="24">
        <f t="shared" si="465"/>
        <v>0</v>
      </c>
      <c r="BK315" s="26" t="s">
        <v>53</v>
      </c>
      <c r="BL315" s="24"/>
      <c r="BW315" s="24">
        <v>21</v>
      </c>
      <c r="BX315" s="4" t="s">
        <v>915</v>
      </c>
    </row>
    <row r="316" spans="1:76" ht="26.4" x14ac:dyDescent="0.3">
      <c r="A316" s="2" t="s">
        <v>916</v>
      </c>
      <c r="B316" s="3" t="s">
        <v>831</v>
      </c>
      <c r="C316" s="82" t="s">
        <v>917</v>
      </c>
      <c r="D316" s="81"/>
      <c r="E316" s="3" t="s">
        <v>261</v>
      </c>
      <c r="F316" s="24">
        <v>1.1000000000000001</v>
      </c>
      <c r="G316" s="180">
        <v>0</v>
      </c>
      <c r="H316" s="24">
        <f t="shared" si="442"/>
        <v>0</v>
      </c>
      <c r="I316" s="24">
        <f t="shared" si="443"/>
        <v>0</v>
      </c>
      <c r="J316" s="24">
        <f t="shared" si="444"/>
        <v>0</v>
      </c>
      <c r="K316" s="25"/>
      <c r="Z316" s="24">
        <f t="shared" si="445"/>
        <v>0</v>
      </c>
      <c r="AB316" s="24">
        <f t="shared" si="446"/>
        <v>0</v>
      </c>
      <c r="AC316" s="24">
        <f t="shared" si="447"/>
        <v>0</v>
      </c>
      <c r="AD316" s="24">
        <f t="shared" si="448"/>
        <v>0</v>
      </c>
      <c r="AE316" s="24">
        <f t="shared" si="449"/>
        <v>0</v>
      </c>
      <c r="AF316" s="24">
        <f t="shared" si="450"/>
        <v>0</v>
      </c>
      <c r="AG316" s="24">
        <f t="shared" si="451"/>
        <v>0</v>
      </c>
      <c r="AH316" s="24">
        <f t="shared" si="452"/>
        <v>0</v>
      </c>
      <c r="AI316" s="10" t="s">
        <v>43</v>
      </c>
      <c r="AJ316" s="24">
        <f t="shared" si="453"/>
        <v>0</v>
      </c>
      <c r="AK316" s="24">
        <f t="shared" si="454"/>
        <v>0</v>
      </c>
      <c r="AL316" s="24">
        <f t="shared" si="455"/>
        <v>0</v>
      </c>
      <c r="AN316" s="24">
        <v>21</v>
      </c>
      <c r="AO316" s="24">
        <f t="shared" si="456"/>
        <v>0</v>
      </c>
      <c r="AP316" s="24">
        <f t="shared" si="457"/>
        <v>0</v>
      </c>
      <c r="AQ316" s="26" t="s">
        <v>46</v>
      </c>
      <c r="AV316" s="24">
        <f t="shared" si="458"/>
        <v>0</v>
      </c>
      <c r="AW316" s="24">
        <f t="shared" si="459"/>
        <v>0</v>
      </c>
      <c r="AX316" s="24">
        <f t="shared" si="460"/>
        <v>0</v>
      </c>
      <c r="AY316" s="26" t="s">
        <v>833</v>
      </c>
      <c r="AZ316" s="26" t="s">
        <v>427</v>
      </c>
      <c r="BA316" s="10" t="s">
        <v>52</v>
      </c>
      <c r="BC316" s="24">
        <f t="shared" si="461"/>
        <v>0</v>
      </c>
      <c r="BD316" s="24">
        <f t="shared" si="462"/>
        <v>0</v>
      </c>
      <c r="BE316" s="24">
        <v>0</v>
      </c>
      <c r="BF316" s="24">
        <f>313</f>
        <v>313</v>
      </c>
      <c r="BH316" s="24">
        <f t="shared" si="463"/>
        <v>0</v>
      </c>
      <c r="BI316" s="24">
        <f t="shared" si="464"/>
        <v>0</v>
      </c>
      <c r="BJ316" s="24">
        <f t="shared" si="465"/>
        <v>0</v>
      </c>
      <c r="BK316" s="26" t="s">
        <v>53</v>
      </c>
      <c r="BL316" s="24"/>
      <c r="BW316" s="24">
        <v>21</v>
      </c>
      <c r="BX316" s="4" t="s">
        <v>917</v>
      </c>
    </row>
    <row r="317" spans="1:76" ht="26.4" x14ac:dyDescent="0.3">
      <c r="A317" s="2" t="s">
        <v>918</v>
      </c>
      <c r="B317" s="3" t="s">
        <v>831</v>
      </c>
      <c r="C317" s="82" t="s">
        <v>919</v>
      </c>
      <c r="D317" s="81"/>
      <c r="E317" s="3" t="s">
        <v>261</v>
      </c>
      <c r="F317" s="24">
        <v>1.1000000000000001</v>
      </c>
      <c r="G317" s="180">
        <v>0</v>
      </c>
      <c r="H317" s="24">
        <f t="shared" si="442"/>
        <v>0</v>
      </c>
      <c r="I317" s="24">
        <f t="shared" si="443"/>
        <v>0</v>
      </c>
      <c r="J317" s="24">
        <f t="shared" si="444"/>
        <v>0</v>
      </c>
      <c r="K317" s="25"/>
      <c r="Z317" s="24">
        <f t="shared" si="445"/>
        <v>0</v>
      </c>
      <c r="AB317" s="24">
        <f t="shared" si="446"/>
        <v>0</v>
      </c>
      <c r="AC317" s="24">
        <f t="shared" si="447"/>
        <v>0</v>
      </c>
      <c r="AD317" s="24">
        <f t="shared" si="448"/>
        <v>0</v>
      </c>
      <c r="AE317" s="24">
        <f t="shared" si="449"/>
        <v>0</v>
      </c>
      <c r="AF317" s="24">
        <f t="shared" si="450"/>
        <v>0</v>
      </c>
      <c r="AG317" s="24">
        <f t="shared" si="451"/>
        <v>0</v>
      </c>
      <c r="AH317" s="24">
        <f t="shared" si="452"/>
        <v>0</v>
      </c>
      <c r="AI317" s="10" t="s">
        <v>43</v>
      </c>
      <c r="AJ317" s="24">
        <f t="shared" si="453"/>
        <v>0</v>
      </c>
      <c r="AK317" s="24">
        <f t="shared" si="454"/>
        <v>0</v>
      </c>
      <c r="AL317" s="24">
        <f t="shared" si="455"/>
        <v>0</v>
      </c>
      <c r="AN317" s="24">
        <v>21</v>
      </c>
      <c r="AO317" s="24">
        <f t="shared" si="456"/>
        <v>0</v>
      </c>
      <c r="AP317" s="24">
        <f t="shared" si="457"/>
        <v>0</v>
      </c>
      <c r="AQ317" s="26" t="s">
        <v>46</v>
      </c>
      <c r="AV317" s="24">
        <f t="shared" si="458"/>
        <v>0</v>
      </c>
      <c r="AW317" s="24">
        <f t="shared" si="459"/>
        <v>0</v>
      </c>
      <c r="AX317" s="24">
        <f t="shared" si="460"/>
        <v>0</v>
      </c>
      <c r="AY317" s="26" t="s">
        <v>833</v>
      </c>
      <c r="AZ317" s="26" t="s">
        <v>427</v>
      </c>
      <c r="BA317" s="10" t="s">
        <v>52</v>
      </c>
      <c r="BC317" s="24">
        <f t="shared" si="461"/>
        <v>0</v>
      </c>
      <c r="BD317" s="24">
        <f t="shared" si="462"/>
        <v>0</v>
      </c>
      <c r="BE317" s="24">
        <v>0</v>
      </c>
      <c r="BF317" s="24">
        <f>314</f>
        <v>314</v>
      </c>
      <c r="BH317" s="24">
        <f t="shared" si="463"/>
        <v>0</v>
      </c>
      <c r="BI317" s="24">
        <f t="shared" si="464"/>
        <v>0</v>
      </c>
      <c r="BJ317" s="24">
        <f t="shared" si="465"/>
        <v>0</v>
      </c>
      <c r="BK317" s="26" t="s">
        <v>53</v>
      </c>
      <c r="BL317" s="24"/>
      <c r="BW317" s="24">
        <v>21</v>
      </c>
      <c r="BX317" s="4" t="s">
        <v>919</v>
      </c>
    </row>
    <row r="318" spans="1:76" ht="26.4" x14ac:dyDescent="0.3">
      <c r="A318" s="2" t="s">
        <v>920</v>
      </c>
      <c r="B318" s="3" t="s">
        <v>831</v>
      </c>
      <c r="C318" s="82" t="s">
        <v>921</v>
      </c>
      <c r="D318" s="81"/>
      <c r="E318" s="3" t="s">
        <v>49</v>
      </c>
      <c r="F318" s="24">
        <v>133</v>
      </c>
      <c r="G318" s="180">
        <v>0</v>
      </c>
      <c r="H318" s="24">
        <f t="shared" si="442"/>
        <v>0</v>
      </c>
      <c r="I318" s="24">
        <f t="shared" si="443"/>
        <v>0</v>
      </c>
      <c r="J318" s="24">
        <f t="shared" si="444"/>
        <v>0</v>
      </c>
      <c r="K318" s="25"/>
      <c r="Z318" s="24">
        <f t="shared" si="445"/>
        <v>0</v>
      </c>
      <c r="AB318" s="24">
        <f t="shared" si="446"/>
        <v>0</v>
      </c>
      <c r="AC318" s="24">
        <f t="shared" si="447"/>
        <v>0</v>
      </c>
      <c r="AD318" s="24">
        <f t="shared" si="448"/>
        <v>0</v>
      </c>
      <c r="AE318" s="24">
        <f t="shared" si="449"/>
        <v>0</v>
      </c>
      <c r="AF318" s="24">
        <f t="shared" si="450"/>
        <v>0</v>
      </c>
      <c r="AG318" s="24">
        <f t="shared" si="451"/>
        <v>0</v>
      </c>
      <c r="AH318" s="24">
        <f t="shared" si="452"/>
        <v>0</v>
      </c>
      <c r="AI318" s="10" t="s">
        <v>43</v>
      </c>
      <c r="AJ318" s="24">
        <f t="shared" si="453"/>
        <v>0</v>
      </c>
      <c r="AK318" s="24">
        <f t="shared" si="454"/>
        <v>0</v>
      </c>
      <c r="AL318" s="24">
        <f t="shared" si="455"/>
        <v>0</v>
      </c>
      <c r="AN318" s="24">
        <v>21</v>
      </c>
      <c r="AO318" s="24">
        <f t="shared" si="456"/>
        <v>0</v>
      </c>
      <c r="AP318" s="24">
        <f t="shared" si="457"/>
        <v>0</v>
      </c>
      <c r="AQ318" s="26" t="s">
        <v>46</v>
      </c>
      <c r="AV318" s="24">
        <f t="shared" si="458"/>
        <v>0</v>
      </c>
      <c r="AW318" s="24">
        <f t="shared" si="459"/>
        <v>0</v>
      </c>
      <c r="AX318" s="24">
        <f t="shared" si="460"/>
        <v>0</v>
      </c>
      <c r="AY318" s="26" t="s">
        <v>833</v>
      </c>
      <c r="AZ318" s="26" t="s">
        <v>427</v>
      </c>
      <c r="BA318" s="10" t="s">
        <v>52</v>
      </c>
      <c r="BC318" s="24">
        <f t="shared" si="461"/>
        <v>0</v>
      </c>
      <c r="BD318" s="24">
        <f t="shared" si="462"/>
        <v>0</v>
      </c>
      <c r="BE318" s="24">
        <v>0</v>
      </c>
      <c r="BF318" s="24">
        <f>315</f>
        <v>315</v>
      </c>
      <c r="BH318" s="24">
        <f t="shared" si="463"/>
        <v>0</v>
      </c>
      <c r="BI318" s="24">
        <f t="shared" si="464"/>
        <v>0</v>
      </c>
      <c r="BJ318" s="24">
        <f t="shared" si="465"/>
        <v>0</v>
      </c>
      <c r="BK318" s="26" t="s">
        <v>53</v>
      </c>
      <c r="BL318" s="24"/>
      <c r="BW318" s="24">
        <v>21</v>
      </c>
      <c r="BX318" s="4" t="s">
        <v>921</v>
      </c>
    </row>
    <row r="319" spans="1:76" ht="14.4" x14ac:dyDescent="0.3">
      <c r="A319" s="2" t="s">
        <v>922</v>
      </c>
      <c r="B319" s="3" t="s">
        <v>831</v>
      </c>
      <c r="C319" s="82" t="s">
        <v>923</v>
      </c>
      <c r="D319" s="81"/>
      <c r="E319" s="3" t="s">
        <v>425</v>
      </c>
      <c r="F319" s="24">
        <v>8</v>
      </c>
      <c r="G319" s="180">
        <v>0</v>
      </c>
      <c r="H319" s="24">
        <f t="shared" si="442"/>
        <v>0</v>
      </c>
      <c r="I319" s="24">
        <f t="shared" si="443"/>
        <v>0</v>
      </c>
      <c r="J319" s="24">
        <f t="shared" si="444"/>
        <v>0</v>
      </c>
      <c r="K319" s="25"/>
      <c r="Z319" s="24">
        <f t="shared" si="445"/>
        <v>0</v>
      </c>
      <c r="AB319" s="24">
        <f t="shared" si="446"/>
        <v>0</v>
      </c>
      <c r="AC319" s="24">
        <f t="shared" si="447"/>
        <v>0</v>
      </c>
      <c r="AD319" s="24">
        <f t="shared" si="448"/>
        <v>0</v>
      </c>
      <c r="AE319" s="24">
        <f t="shared" si="449"/>
        <v>0</v>
      </c>
      <c r="AF319" s="24">
        <f t="shared" si="450"/>
        <v>0</v>
      </c>
      <c r="AG319" s="24">
        <f t="shared" si="451"/>
        <v>0</v>
      </c>
      <c r="AH319" s="24">
        <f t="shared" si="452"/>
        <v>0</v>
      </c>
      <c r="AI319" s="10" t="s">
        <v>43</v>
      </c>
      <c r="AJ319" s="24">
        <f t="shared" si="453"/>
        <v>0</v>
      </c>
      <c r="AK319" s="24">
        <f t="shared" si="454"/>
        <v>0</v>
      </c>
      <c r="AL319" s="24">
        <f t="shared" si="455"/>
        <v>0</v>
      </c>
      <c r="AN319" s="24">
        <v>21</v>
      </c>
      <c r="AO319" s="24">
        <f t="shared" si="456"/>
        <v>0</v>
      </c>
      <c r="AP319" s="24">
        <f t="shared" si="457"/>
        <v>0</v>
      </c>
      <c r="AQ319" s="26" t="s">
        <v>46</v>
      </c>
      <c r="AV319" s="24">
        <f t="shared" si="458"/>
        <v>0</v>
      </c>
      <c r="AW319" s="24">
        <f t="shared" si="459"/>
        <v>0</v>
      </c>
      <c r="AX319" s="24">
        <f t="shared" si="460"/>
        <v>0</v>
      </c>
      <c r="AY319" s="26" t="s">
        <v>833</v>
      </c>
      <c r="AZ319" s="26" t="s">
        <v>427</v>
      </c>
      <c r="BA319" s="10" t="s">
        <v>52</v>
      </c>
      <c r="BC319" s="24">
        <f t="shared" si="461"/>
        <v>0</v>
      </c>
      <c r="BD319" s="24">
        <f t="shared" si="462"/>
        <v>0</v>
      </c>
      <c r="BE319" s="24">
        <v>0</v>
      </c>
      <c r="BF319" s="24">
        <f>316</f>
        <v>316</v>
      </c>
      <c r="BH319" s="24">
        <f t="shared" si="463"/>
        <v>0</v>
      </c>
      <c r="BI319" s="24">
        <f t="shared" si="464"/>
        <v>0</v>
      </c>
      <c r="BJ319" s="24">
        <f t="shared" si="465"/>
        <v>0</v>
      </c>
      <c r="BK319" s="26" t="s">
        <v>53</v>
      </c>
      <c r="BL319" s="24"/>
      <c r="BW319" s="24">
        <v>21</v>
      </c>
      <c r="BX319" s="4" t="s">
        <v>923</v>
      </c>
    </row>
    <row r="320" spans="1:76" ht="14.4" x14ac:dyDescent="0.3">
      <c r="A320" s="2" t="s">
        <v>924</v>
      </c>
      <c r="B320" s="3" t="s">
        <v>831</v>
      </c>
      <c r="C320" s="82" t="s">
        <v>925</v>
      </c>
      <c r="D320" s="81"/>
      <c r="E320" s="3" t="s">
        <v>425</v>
      </c>
      <c r="F320" s="24">
        <v>16</v>
      </c>
      <c r="G320" s="180">
        <v>0</v>
      </c>
      <c r="H320" s="24">
        <f t="shared" si="442"/>
        <v>0</v>
      </c>
      <c r="I320" s="24">
        <f t="shared" si="443"/>
        <v>0</v>
      </c>
      <c r="J320" s="24">
        <f t="shared" si="444"/>
        <v>0</v>
      </c>
      <c r="K320" s="25"/>
      <c r="Z320" s="24">
        <f t="shared" si="445"/>
        <v>0</v>
      </c>
      <c r="AB320" s="24">
        <f t="shared" si="446"/>
        <v>0</v>
      </c>
      <c r="AC320" s="24">
        <f t="shared" si="447"/>
        <v>0</v>
      </c>
      <c r="AD320" s="24">
        <f t="shared" si="448"/>
        <v>0</v>
      </c>
      <c r="AE320" s="24">
        <f t="shared" si="449"/>
        <v>0</v>
      </c>
      <c r="AF320" s="24">
        <f t="shared" si="450"/>
        <v>0</v>
      </c>
      <c r="AG320" s="24">
        <f t="shared" si="451"/>
        <v>0</v>
      </c>
      <c r="AH320" s="24">
        <f t="shared" si="452"/>
        <v>0</v>
      </c>
      <c r="AI320" s="10" t="s">
        <v>43</v>
      </c>
      <c r="AJ320" s="24">
        <f t="shared" si="453"/>
        <v>0</v>
      </c>
      <c r="AK320" s="24">
        <f t="shared" si="454"/>
        <v>0</v>
      </c>
      <c r="AL320" s="24">
        <f t="shared" si="455"/>
        <v>0</v>
      </c>
      <c r="AN320" s="24">
        <v>21</v>
      </c>
      <c r="AO320" s="24">
        <f t="shared" si="456"/>
        <v>0</v>
      </c>
      <c r="AP320" s="24">
        <f t="shared" si="457"/>
        <v>0</v>
      </c>
      <c r="AQ320" s="26" t="s">
        <v>46</v>
      </c>
      <c r="AV320" s="24">
        <f t="shared" si="458"/>
        <v>0</v>
      </c>
      <c r="AW320" s="24">
        <f t="shared" si="459"/>
        <v>0</v>
      </c>
      <c r="AX320" s="24">
        <f t="shared" si="460"/>
        <v>0</v>
      </c>
      <c r="AY320" s="26" t="s">
        <v>833</v>
      </c>
      <c r="AZ320" s="26" t="s">
        <v>427</v>
      </c>
      <c r="BA320" s="10" t="s">
        <v>52</v>
      </c>
      <c r="BC320" s="24">
        <f t="shared" si="461"/>
        <v>0</v>
      </c>
      <c r="BD320" s="24">
        <f t="shared" si="462"/>
        <v>0</v>
      </c>
      <c r="BE320" s="24">
        <v>0</v>
      </c>
      <c r="BF320" s="24">
        <f>317</f>
        <v>317</v>
      </c>
      <c r="BH320" s="24">
        <f t="shared" si="463"/>
        <v>0</v>
      </c>
      <c r="BI320" s="24">
        <f t="shared" si="464"/>
        <v>0</v>
      </c>
      <c r="BJ320" s="24">
        <f t="shared" si="465"/>
        <v>0</v>
      </c>
      <c r="BK320" s="26" t="s">
        <v>53</v>
      </c>
      <c r="BL320" s="24"/>
      <c r="BW320" s="24">
        <v>21</v>
      </c>
      <c r="BX320" s="4" t="s">
        <v>925</v>
      </c>
    </row>
    <row r="321" spans="1:76" ht="14.4" x14ac:dyDescent="0.3">
      <c r="A321" s="2" t="s">
        <v>926</v>
      </c>
      <c r="B321" s="3" t="s">
        <v>831</v>
      </c>
      <c r="C321" s="82" t="s">
        <v>927</v>
      </c>
      <c r="D321" s="81"/>
      <c r="E321" s="3" t="s">
        <v>425</v>
      </c>
      <c r="F321" s="24">
        <v>40</v>
      </c>
      <c r="G321" s="180">
        <v>0</v>
      </c>
      <c r="H321" s="24">
        <f t="shared" si="442"/>
        <v>0</v>
      </c>
      <c r="I321" s="24">
        <f t="shared" si="443"/>
        <v>0</v>
      </c>
      <c r="J321" s="24">
        <f t="shared" si="444"/>
        <v>0</v>
      </c>
      <c r="K321" s="25"/>
      <c r="Z321" s="24">
        <f t="shared" si="445"/>
        <v>0</v>
      </c>
      <c r="AB321" s="24">
        <f t="shared" si="446"/>
        <v>0</v>
      </c>
      <c r="AC321" s="24">
        <f t="shared" si="447"/>
        <v>0</v>
      </c>
      <c r="AD321" s="24">
        <f t="shared" si="448"/>
        <v>0</v>
      </c>
      <c r="AE321" s="24">
        <f t="shared" si="449"/>
        <v>0</v>
      </c>
      <c r="AF321" s="24">
        <f t="shared" si="450"/>
        <v>0</v>
      </c>
      <c r="AG321" s="24">
        <f t="shared" si="451"/>
        <v>0</v>
      </c>
      <c r="AH321" s="24">
        <f t="shared" si="452"/>
        <v>0</v>
      </c>
      <c r="AI321" s="10" t="s">
        <v>43</v>
      </c>
      <c r="AJ321" s="24">
        <f t="shared" si="453"/>
        <v>0</v>
      </c>
      <c r="AK321" s="24">
        <f t="shared" si="454"/>
        <v>0</v>
      </c>
      <c r="AL321" s="24">
        <f t="shared" si="455"/>
        <v>0</v>
      </c>
      <c r="AN321" s="24">
        <v>21</v>
      </c>
      <c r="AO321" s="24">
        <f t="shared" si="456"/>
        <v>0</v>
      </c>
      <c r="AP321" s="24">
        <f t="shared" si="457"/>
        <v>0</v>
      </c>
      <c r="AQ321" s="26" t="s">
        <v>46</v>
      </c>
      <c r="AV321" s="24">
        <f t="shared" si="458"/>
        <v>0</v>
      </c>
      <c r="AW321" s="24">
        <f t="shared" si="459"/>
        <v>0</v>
      </c>
      <c r="AX321" s="24">
        <f t="shared" si="460"/>
        <v>0</v>
      </c>
      <c r="AY321" s="26" t="s">
        <v>833</v>
      </c>
      <c r="AZ321" s="26" t="s">
        <v>427</v>
      </c>
      <c r="BA321" s="10" t="s">
        <v>52</v>
      </c>
      <c r="BC321" s="24">
        <f t="shared" si="461"/>
        <v>0</v>
      </c>
      <c r="BD321" s="24">
        <f t="shared" si="462"/>
        <v>0</v>
      </c>
      <c r="BE321" s="24">
        <v>0</v>
      </c>
      <c r="BF321" s="24">
        <f>318</f>
        <v>318</v>
      </c>
      <c r="BH321" s="24">
        <f t="shared" si="463"/>
        <v>0</v>
      </c>
      <c r="BI321" s="24">
        <f t="shared" si="464"/>
        <v>0</v>
      </c>
      <c r="BJ321" s="24">
        <f t="shared" si="465"/>
        <v>0</v>
      </c>
      <c r="BK321" s="26" t="s">
        <v>53</v>
      </c>
      <c r="BL321" s="24"/>
      <c r="BW321" s="24">
        <v>21</v>
      </c>
      <c r="BX321" s="4" t="s">
        <v>927</v>
      </c>
    </row>
    <row r="322" spans="1:76" ht="14.4" x14ac:dyDescent="0.3">
      <c r="A322" s="2" t="s">
        <v>928</v>
      </c>
      <c r="B322" s="3" t="s">
        <v>831</v>
      </c>
      <c r="C322" s="82" t="s">
        <v>929</v>
      </c>
      <c r="D322" s="81"/>
      <c r="E322" s="3" t="s">
        <v>425</v>
      </c>
      <c r="F322" s="24">
        <v>4</v>
      </c>
      <c r="G322" s="180">
        <v>0</v>
      </c>
      <c r="H322" s="24">
        <f t="shared" si="442"/>
        <v>0</v>
      </c>
      <c r="I322" s="24">
        <f t="shared" si="443"/>
        <v>0</v>
      </c>
      <c r="J322" s="24">
        <f t="shared" si="444"/>
        <v>0</v>
      </c>
      <c r="K322" s="25"/>
      <c r="Z322" s="24">
        <f t="shared" si="445"/>
        <v>0</v>
      </c>
      <c r="AB322" s="24">
        <f t="shared" si="446"/>
        <v>0</v>
      </c>
      <c r="AC322" s="24">
        <f t="shared" si="447"/>
        <v>0</v>
      </c>
      <c r="AD322" s="24">
        <f t="shared" si="448"/>
        <v>0</v>
      </c>
      <c r="AE322" s="24">
        <f t="shared" si="449"/>
        <v>0</v>
      </c>
      <c r="AF322" s="24">
        <f t="shared" si="450"/>
        <v>0</v>
      </c>
      <c r="AG322" s="24">
        <f t="shared" si="451"/>
        <v>0</v>
      </c>
      <c r="AH322" s="24">
        <f t="shared" si="452"/>
        <v>0</v>
      </c>
      <c r="AI322" s="10" t="s">
        <v>43</v>
      </c>
      <c r="AJ322" s="24">
        <f t="shared" si="453"/>
        <v>0</v>
      </c>
      <c r="AK322" s="24">
        <f t="shared" si="454"/>
        <v>0</v>
      </c>
      <c r="AL322" s="24">
        <f t="shared" si="455"/>
        <v>0</v>
      </c>
      <c r="AN322" s="24">
        <v>21</v>
      </c>
      <c r="AO322" s="24">
        <f t="shared" si="456"/>
        <v>0</v>
      </c>
      <c r="AP322" s="24">
        <f t="shared" si="457"/>
        <v>0</v>
      </c>
      <c r="AQ322" s="26" t="s">
        <v>46</v>
      </c>
      <c r="AV322" s="24">
        <f t="shared" si="458"/>
        <v>0</v>
      </c>
      <c r="AW322" s="24">
        <f t="shared" si="459"/>
        <v>0</v>
      </c>
      <c r="AX322" s="24">
        <f t="shared" si="460"/>
        <v>0</v>
      </c>
      <c r="AY322" s="26" t="s">
        <v>833</v>
      </c>
      <c r="AZ322" s="26" t="s">
        <v>427</v>
      </c>
      <c r="BA322" s="10" t="s">
        <v>52</v>
      </c>
      <c r="BC322" s="24">
        <f t="shared" si="461"/>
        <v>0</v>
      </c>
      <c r="BD322" s="24">
        <f t="shared" si="462"/>
        <v>0</v>
      </c>
      <c r="BE322" s="24">
        <v>0</v>
      </c>
      <c r="BF322" s="24">
        <f>319</f>
        <v>319</v>
      </c>
      <c r="BH322" s="24">
        <f t="shared" si="463"/>
        <v>0</v>
      </c>
      <c r="BI322" s="24">
        <f t="shared" si="464"/>
        <v>0</v>
      </c>
      <c r="BJ322" s="24">
        <f t="shared" si="465"/>
        <v>0</v>
      </c>
      <c r="BK322" s="26" t="s">
        <v>53</v>
      </c>
      <c r="BL322" s="24"/>
      <c r="BW322" s="24">
        <v>21</v>
      </c>
      <c r="BX322" s="4" t="s">
        <v>929</v>
      </c>
    </row>
    <row r="323" spans="1:76" ht="14.4" x14ac:dyDescent="0.3">
      <c r="A323" s="2" t="s">
        <v>930</v>
      </c>
      <c r="B323" s="3" t="s">
        <v>831</v>
      </c>
      <c r="C323" s="82" t="s">
        <v>931</v>
      </c>
      <c r="D323" s="81"/>
      <c r="E323" s="3" t="s">
        <v>425</v>
      </c>
      <c r="F323" s="24">
        <v>24</v>
      </c>
      <c r="G323" s="180">
        <v>0</v>
      </c>
      <c r="H323" s="24">
        <f t="shared" si="442"/>
        <v>0</v>
      </c>
      <c r="I323" s="24">
        <f t="shared" si="443"/>
        <v>0</v>
      </c>
      <c r="J323" s="24">
        <f t="shared" si="444"/>
        <v>0</v>
      </c>
      <c r="K323" s="25"/>
      <c r="Z323" s="24">
        <f t="shared" si="445"/>
        <v>0</v>
      </c>
      <c r="AB323" s="24">
        <f t="shared" si="446"/>
        <v>0</v>
      </c>
      <c r="AC323" s="24">
        <f t="shared" si="447"/>
        <v>0</v>
      </c>
      <c r="AD323" s="24">
        <f t="shared" si="448"/>
        <v>0</v>
      </c>
      <c r="AE323" s="24">
        <f t="shared" si="449"/>
        <v>0</v>
      </c>
      <c r="AF323" s="24">
        <f t="shared" si="450"/>
        <v>0</v>
      </c>
      <c r="AG323" s="24">
        <f t="shared" si="451"/>
        <v>0</v>
      </c>
      <c r="AH323" s="24">
        <f t="shared" si="452"/>
        <v>0</v>
      </c>
      <c r="AI323" s="10" t="s">
        <v>43</v>
      </c>
      <c r="AJ323" s="24">
        <f t="shared" si="453"/>
        <v>0</v>
      </c>
      <c r="AK323" s="24">
        <f t="shared" si="454"/>
        <v>0</v>
      </c>
      <c r="AL323" s="24">
        <f t="shared" si="455"/>
        <v>0</v>
      </c>
      <c r="AN323" s="24">
        <v>21</v>
      </c>
      <c r="AO323" s="24">
        <f t="shared" si="456"/>
        <v>0</v>
      </c>
      <c r="AP323" s="24">
        <f t="shared" si="457"/>
        <v>0</v>
      </c>
      <c r="AQ323" s="26" t="s">
        <v>46</v>
      </c>
      <c r="AV323" s="24">
        <f t="shared" si="458"/>
        <v>0</v>
      </c>
      <c r="AW323" s="24">
        <f t="shared" si="459"/>
        <v>0</v>
      </c>
      <c r="AX323" s="24">
        <f t="shared" si="460"/>
        <v>0</v>
      </c>
      <c r="AY323" s="26" t="s">
        <v>833</v>
      </c>
      <c r="AZ323" s="26" t="s">
        <v>427</v>
      </c>
      <c r="BA323" s="10" t="s">
        <v>52</v>
      </c>
      <c r="BC323" s="24">
        <f t="shared" si="461"/>
        <v>0</v>
      </c>
      <c r="BD323" s="24">
        <f t="shared" si="462"/>
        <v>0</v>
      </c>
      <c r="BE323" s="24">
        <v>0</v>
      </c>
      <c r="BF323" s="24">
        <f>320</f>
        <v>320</v>
      </c>
      <c r="BH323" s="24">
        <f t="shared" si="463"/>
        <v>0</v>
      </c>
      <c r="BI323" s="24">
        <f t="shared" si="464"/>
        <v>0</v>
      </c>
      <c r="BJ323" s="24">
        <f t="shared" si="465"/>
        <v>0</v>
      </c>
      <c r="BK323" s="26" t="s">
        <v>53</v>
      </c>
      <c r="BL323" s="24"/>
      <c r="BW323" s="24">
        <v>21</v>
      </c>
      <c r="BX323" s="4" t="s">
        <v>931</v>
      </c>
    </row>
    <row r="324" spans="1:76" ht="14.4" x14ac:dyDescent="0.3">
      <c r="A324" s="2" t="s">
        <v>932</v>
      </c>
      <c r="B324" s="3" t="s">
        <v>831</v>
      </c>
      <c r="C324" s="82" t="s">
        <v>933</v>
      </c>
      <c r="D324" s="81"/>
      <c r="E324" s="3" t="s">
        <v>425</v>
      </c>
      <c r="F324" s="24">
        <v>16</v>
      </c>
      <c r="G324" s="180">
        <v>0</v>
      </c>
      <c r="H324" s="24">
        <f t="shared" si="442"/>
        <v>0</v>
      </c>
      <c r="I324" s="24">
        <f t="shared" si="443"/>
        <v>0</v>
      </c>
      <c r="J324" s="24">
        <f t="shared" si="444"/>
        <v>0</v>
      </c>
      <c r="K324" s="25"/>
      <c r="Z324" s="24">
        <f t="shared" si="445"/>
        <v>0</v>
      </c>
      <c r="AB324" s="24">
        <f t="shared" si="446"/>
        <v>0</v>
      </c>
      <c r="AC324" s="24">
        <f t="shared" si="447"/>
        <v>0</v>
      </c>
      <c r="AD324" s="24">
        <f t="shared" si="448"/>
        <v>0</v>
      </c>
      <c r="AE324" s="24">
        <f t="shared" si="449"/>
        <v>0</v>
      </c>
      <c r="AF324" s="24">
        <f t="shared" si="450"/>
        <v>0</v>
      </c>
      <c r="AG324" s="24">
        <f t="shared" si="451"/>
        <v>0</v>
      </c>
      <c r="AH324" s="24">
        <f t="shared" si="452"/>
        <v>0</v>
      </c>
      <c r="AI324" s="10" t="s">
        <v>43</v>
      </c>
      <c r="AJ324" s="24">
        <f t="shared" si="453"/>
        <v>0</v>
      </c>
      <c r="AK324" s="24">
        <f t="shared" si="454"/>
        <v>0</v>
      </c>
      <c r="AL324" s="24">
        <f t="shared" si="455"/>
        <v>0</v>
      </c>
      <c r="AN324" s="24">
        <v>21</v>
      </c>
      <c r="AO324" s="24">
        <f t="shared" si="456"/>
        <v>0</v>
      </c>
      <c r="AP324" s="24">
        <f t="shared" si="457"/>
        <v>0</v>
      </c>
      <c r="AQ324" s="26" t="s">
        <v>46</v>
      </c>
      <c r="AV324" s="24">
        <f t="shared" si="458"/>
        <v>0</v>
      </c>
      <c r="AW324" s="24">
        <f t="shared" si="459"/>
        <v>0</v>
      </c>
      <c r="AX324" s="24">
        <f t="shared" si="460"/>
        <v>0</v>
      </c>
      <c r="AY324" s="26" t="s">
        <v>833</v>
      </c>
      <c r="AZ324" s="26" t="s">
        <v>427</v>
      </c>
      <c r="BA324" s="10" t="s">
        <v>52</v>
      </c>
      <c r="BC324" s="24">
        <f t="shared" si="461"/>
        <v>0</v>
      </c>
      <c r="BD324" s="24">
        <f t="shared" si="462"/>
        <v>0</v>
      </c>
      <c r="BE324" s="24">
        <v>0</v>
      </c>
      <c r="BF324" s="24">
        <f>321</f>
        <v>321</v>
      </c>
      <c r="BH324" s="24">
        <f t="shared" si="463"/>
        <v>0</v>
      </c>
      <c r="BI324" s="24">
        <f t="shared" si="464"/>
        <v>0</v>
      </c>
      <c r="BJ324" s="24">
        <f t="shared" si="465"/>
        <v>0</v>
      </c>
      <c r="BK324" s="26" t="s">
        <v>53</v>
      </c>
      <c r="BL324" s="24"/>
      <c r="BW324" s="24">
        <v>21</v>
      </c>
      <c r="BX324" s="4" t="s">
        <v>933</v>
      </c>
    </row>
    <row r="325" spans="1:76" ht="14.4" x14ac:dyDescent="0.3">
      <c r="A325" s="2" t="s">
        <v>934</v>
      </c>
      <c r="B325" s="3" t="s">
        <v>831</v>
      </c>
      <c r="C325" s="82" t="s">
        <v>935</v>
      </c>
      <c r="D325" s="81"/>
      <c r="E325" s="3" t="s">
        <v>425</v>
      </c>
      <c r="F325" s="24">
        <v>16</v>
      </c>
      <c r="G325" s="180">
        <v>0</v>
      </c>
      <c r="H325" s="24">
        <f t="shared" si="442"/>
        <v>0</v>
      </c>
      <c r="I325" s="24">
        <f t="shared" si="443"/>
        <v>0</v>
      </c>
      <c r="J325" s="24">
        <f t="shared" si="444"/>
        <v>0</v>
      </c>
      <c r="K325" s="25"/>
      <c r="Z325" s="24">
        <f t="shared" si="445"/>
        <v>0</v>
      </c>
      <c r="AB325" s="24">
        <f t="shared" si="446"/>
        <v>0</v>
      </c>
      <c r="AC325" s="24">
        <f t="shared" si="447"/>
        <v>0</v>
      </c>
      <c r="AD325" s="24">
        <f t="shared" si="448"/>
        <v>0</v>
      </c>
      <c r="AE325" s="24">
        <f t="shared" si="449"/>
        <v>0</v>
      </c>
      <c r="AF325" s="24">
        <f t="shared" si="450"/>
        <v>0</v>
      </c>
      <c r="AG325" s="24">
        <f t="shared" si="451"/>
        <v>0</v>
      </c>
      <c r="AH325" s="24">
        <f t="shared" si="452"/>
        <v>0</v>
      </c>
      <c r="AI325" s="10" t="s">
        <v>43</v>
      </c>
      <c r="AJ325" s="24">
        <f t="shared" si="453"/>
        <v>0</v>
      </c>
      <c r="AK325" s="24">
        <f t="shared" si="454"/>
        <v>0</v>
      </c>
      <c r="AL325" s="24">
        <f t="shared" si="455"/>
        <v>0</v>
      </c>
      <c r="AN325" s="24">
        <v>21</v>
      </c>
      <c r="AO325" s="24">
        <f t="shared" si="456"/>
        <v>0</v>
      </c>
      <c r="AP325" s="24">
        <f t="shared" si="457"/>
        <v>0</v>
      </c>
      <c r="AQ325" s="26" t="s">
        <v>46</v>
      </c>
      <c r="AV325" s="24">
        <f t="shared" si="458"/>
        <v>0</v>
      </c>
      <c r="AW325" s="24">
        <f t="shared" si="459"/>
        <v>0</v>
      </c>
      <c r="AX325" s="24">
        <f t="shared" si="460"/>
        <v>0</v>
      </c>
      <c r="AY325" s="26" t="s">
        <v>833</v>
      </c>
      <c r="AZ325" s="26" t="s">
        <v>427</v>
      </c>
      <c r="BA325" s="10" t="s">
        <v>52</v>
      </c>
      <c r="BC325" s="24">
        <f t="shared" si="461"/>
        <v>0</v>
      </c>
      <c r="BD325" s="24">
        <f t="shared" si="462"/>
        <v>0</v>
      </c>
      <c r="BE325" s="24">
        <v>0</v>
      </c>
      <c r="BF325" s="24">
        <f>322</f>
        <v>322</v>
      </c>
      <c r="BH325" s="24">
        <f t="shared" si="463"/>
        <v>0</v>
      </c>
      <c r="BI325" s="24">
        <f t="shared" si="464"/>
        <v>0</v>
      </c>
      <c r="BJ325" s="24">
        <f t="shared" si="465"/>
        <v>0</v>
      </c>
      <c r="BK325" s="26" t="s">
        <v>53</v>
      </c>
      <c r="BL325" s="24"/>
      <c r="BW325" s="24">
        <v>21</v>
      </c>
      <c r="BX325" s="4" t="s">
        <v>935</v>
      </c>
    </row>
    <row r="326" spans="1:76" ht="14.4" x14ac:dyDescent="0.3">
      <c r="A326" s="2" t="s">
        <v>936</v>
      </c>
      <c r="B326" s="3" t="s">
        <v>831</v>
      </c>
      <c r="C326" s="82" t="s">
        <v>937</v>
      </c>
      <c r="D326" s="81"/>
      <c r="E326" s="3" t="s">
        <v>425</v>
      </c>
      <c r="F326" s="24">
        <v>8</v>
      </c>
      <c r="G326" s="180">
        <v>0</v>
      </c>
      <c r="H326" s="24">
        <f t="shared" si="442"/>
        <v>0</v>
      </c>
      <c r="I326" s="24">
        <f t="shared" si="443"/>
        <v>0</v>
      </c>
      <c r="J326" s="24">
        <f t="shared" si="444"/>
        <v>0</v>
      </c>
      <c r="K326" s="25"/>
      <c r="Z326" s="24">
        <f t="shared" si="445"/>
        <v>0</v>
      </c>
      <c r="AB326" s="24">
        <f t="shared" si="446"/>
        <v>0</v>
      </c>
      <c r="AC326" s="24">
        <f t="shared" si="447"/>
        <v>0</v>
      </c>
      <c r="AD326" s="24">
        <f t="shared" si="448"/>
        <v>0</v>
      </c>
      <c r="AE326" s="24">
        <f t="shared" si="449"/>
        <v>0</v>
      </c>
      <c r="AF326" s="24">
        <f t="shared" si="450"/>
        <v>0</v>
      </c>
      <c r="AG326" s="24">
        <f t="shared" si="451"/>
        <v>0</v>
      </c>
      <c r="AH326" s="24">
        <f t="shared" si="452"/>
        <v>0</v>
      </c>
      <c r="AI326" s="10" t="s">
        <v>43</v>
      </c>
      <c r="AJ326" s="24">
        <f t="shared" si="453"/>
        <v>0</v>
      </c>
      <c r="AK326" s="24">
        <f t="shared" si="454"/>
        <v>0</v>
      </c>
      <c r="AL326" s="24">
        <f t="shared" si="455"/>
        <v>0</v>
      </c>
      <c r="AN326" s="24">
        <v>21</v>
      </c>
      <c r="AO326" s="24">
        <f t="shared" si="456"/>
        <v>0</v>
      </c>
      <c r="AP326" s="24">
        <f t="shared" si="457"/>
        <v>0</v>
      </c>
      <c r="AQ326" s="26" t="s">
        <v>46</v>
      </c>
      <c r="AV326" s="24">
        <f t="shared" si="458"/>
        <v>0</v>
      </c>
      <c r="AW326" s="24">
        <f t="shared" si="459"/>
        <v>0</v>
      </c>
      <c r="AX326" s="24">
        <f t="shared" si="460"/>
        <v>0</v>
      </c>
      <c r="AY326" s="26" t="s">
        <v>833</v>
      </c>
      <c r="AZ326" s="26" t="s">
        <v>427</v>
      </c>
      <c r="BA326" s="10" t="s">
        <v>52</v>
      </c>
      <c r="BC326" s="24">
        <f t="shared" si="461"/>
        <v>0</v>
      </c>
      <c r="BD326" s="24">
        <f t="shared" si="462"/>
        <v>0</v>
      </c>
      <c r="BE326" s="24">
        <v>0</v>
      </c>
      <c r="BF326" s="24">
        <f>323</f>
        <v>323</v>
      </c>
      <c r="BH326" s="24">
        <f t="shared" si="463"/>
        <v>0</v>
      </c>
      <c r="BI326" s="24">
        <f t="shared" si="464"/>
        <v>0</v>
      </c>
      <c r="BJ326" s="24">
        <f t="shared" si="465"/>
        <v>0</v>
      </c>
      <c r="BK326" s="26" t="s">
        <v>53</v>
      </c>
      <c r="BL326" s="24"/>
      <c r="BW326" s="24">
        <v>21</v>
      </c>
      <c r="BX326" s="4" t="s">
        <v>937</v>
      </c>
    </row>
    <row r="327" spans="1:76" ht="14.4" x14ac:dyDescent="0.3">
      <c r="A327" s="2" t="s">
        <v>938</v>
      </c>
      <c r="B327" s="3" t="s">
        <v>831</v>
      </c>
      <c r="C327" s="82" t="s">
        <v>939</v>
      </c>
      <c r="D327" s="81"/>
      <c r="E327" s="3" t="s">
        <v>174</v>
      </c>
      <c r="F327" s="24">
        <v>1</v>
      </c>
      <c r="G327" s="180">
        <v>0</v>
      </c>
      <c r="H327" s="24">
        <f t="shared" si="442"/>
        <v>0</v>
      </c>
      <c r="I327" s="24">
        <f t="shared" si="443"/>
        <v>0</v>
      </c>
      <c r="J327" s="24">
        <f t="shared" si="444"/>
        <v>0</v>
      </c>
      <c r="K327" s="25"/>
      <c r="Z327" s="24">
        <f t="shared" si="445"/>
        <v>0</v>
      </c>
      <c r="AB327" s="24">
        <f t="shared" si="446"/>
        <v>0</v>
      </c>
      <c r="AC327" s="24">
        <f t="shared" si="447"/>
        <v>0</v>
      </c>
      <c r="AD327" s="24">
        <f t="shared" si="448"/>
        <v>0</v>
      </c>
      <c r="AE327" s="24">
        <f t="shared" si="449"/>
        <v>0</v>
      </c>
      <c r="AF327" s="24">
        <f t="shared" si="450"/>
        <v>0</v>
      </c>
      <c r="AG327" s="24">
        <f t="shared" si="451"/>
        <v>0</v>
      </c>
      <c r="AH327" s="24">
        <f t="shared" si="452"/>
        <v>0</v>
      </c>
      <c r="AI327" s="10" t="s">
        <v>43</v>
      </c>
      <c r="AJ327" s="24">
        <f t="shared" si="453"/>
        <v>0</v>
      </c>
      <c r="AK327" s="24">
        <f t="shared" si="454"/>
        <v>0</v>
      </c>
      <c r="AL327" s="24">
        <f t="shared" si="455"/>
        <v>0</v>
      </c>
      <c r="AN327" s="24">
        <v>21</v>
      </c>
      <c r="AO327" s="24">
        <f t="shared" si="456"/>
        <v>0</v>
      </c>
      <c r="AP327" s="24">
        <f t="shared" si="457"/>
        <v>0</v>
      </c>
      <c r="AQ327" s="26" t="s">
        <v>46</v>
      </c>
      <c r="AV327" s="24">
        <f t="shared" si="458"/>
        <v>0</v>
      </c>
      <c r="AW327" s="24">
        <f t="shared" si="459"/>
        <v>0</v>
      </c>
      <c r="AX327" s="24">
        <f t="shared" si="460"/>
        <v>0</v>
      </c>
      <c r="AY327" s="26" t="s">
        <v>833</v>
      </c>
      <c r="AZ327" s="26" t="s">
        <v>427</v>
      </c>
      <c r="BA327" s="10" t="s">
        <v>52</v>
      </c>
      <c r="BC327" s="24">
        <f t="shared" si="461"/>
        <v>0</v>
      </c>
      <c r="BD327" s="24">
        <f t="shared" si="462"/>
        <v>0</v>
      </c>
      <c r="BE327" s="24">
        <v>0</v>
      </c>
      <c r="BF327" s="24">
        <f>324</f>
        <v>324</v>
      </c>
      <c r="BH327" s="24">
        <f t="shared" si="463"/>
        <v>0</v>
      </c>
      <c r="BI327" s="24">
        <f t="shared" si="464"/>
        <v>0</v>
      </c>
      <c r="BJ327" s="24">
        <f t="shared" si="465"/>
        <v>0</v>
      </c>
      <c r="BK327" s="26" t="s">
        <v>53</v>
      </c>
      <c r="BL327" s="24"/>
      <c r="BW327" s="24">
        <v>21</v>
      </c>
      <c r="BX327" s="4" t="s">
        <v>939</v>
      </c>
    </row>
    <row r="328" spans="1:76" ht="14.4" x14ac:dyDescent="0.3">
      <c r="A328" s="27" t="s">
        <v>43</v>
      </c>
      <c r="B328" s="28" t="s">
        <v>940</v>
      </c>
      <c r="C328" s="98" t="s">
        <v>941</v>
      </c>
      <c r="D328" s="99"/>
      <c r="E328" s="29" t="s">
        <v>3</v>
      </c>
      <c r="F328" s="29" t="s">
        <v>3</v>
      </c>
      <c r="G328" s="29" t="s">
        <v>3</v>
      </c>
      <c r="H328" s="1">
        <f>ROUND(SUM(H329:H366),2)</f>
        <v>0</v>
      </c>
      <c r="I328" s="1">
        <f>ROUND(SUM(I329:I366),2)</f>
        <v>0</v>
      </c>
      <c r="J328" s="1">
        <f>ROUND(SUM(J329:J366),2)</f>
        <v>0</v>
      </c>
      <c r="K328" s="30"/>
      <c r="AI328" s="10" t="s">
        <v>43</v>
      </c>
      <c r="AS328" s="1">
        <f>SUM(AJ329:AJ366)</f>
        <v>0</v>
      </c>
      <c r="AT328" s="1">
        <f>SUM(AK329:AK366)</f>
        <v>0</v>
      </c>
      <c r="AU328" s="1">
        <f>SUM(AL329:AL366)</f>
        <v>0</v>
      </c>
    </row>
    <row r="329" spans="1:76" ht="26.4" x14ac:dyDescent="0.3">
      <c r="A329" s="2" t="s">
        <v>942</v>
      </c>
      <c r="B329" s="3" t="s">
        <v>943</v>
      </c>
      <c r="C329" s="82" t="s">
        <v>944</v>
      </c>
      <c r="D329" s="81"/>
      <c r="E329" s="3" t="s">
        <v>174</v>
      </c>
      <c r="F329" s="24">
        <v>1</v>
      </c>
      <c r="G329" s="180">
        <v>0</v>
      </c>
      <c r="H329" s="24">
        <f t="shared" ref="H329:H366" si="466">ROUND(F329*AO329,2)</f>
        <v>0</v>
      </c>
      <c r="I329" s="24">
        <f t="shared" ref="I329:I366" si="467">ROUND(F329*AP329,2)</f>
        <v>0</v>
      </c>
      <c r="J329" s="24">
        <f t="shared" ref="J329:J366" si="468">ROUND(F329*G329,2)</f>
        <v>0</v>
      </c>
      <c r="K329" s="25"/>
      <c r="Z329" s="24">
        <f t="shared" ref="Z329:Z366" si="469">ROUND(IF(AQ329="5",BJ329,0),2)</f>
        <v>0</v>
      </c>
      <c r="AB329" s="24">
        <f t="shared" ref="AB329:AB366" si="470">ROUND(IF(AQ329="1",BH329,0),2)</f>
        <v>0</v>
      </c>
      <c r="AC329" s="24">
        <f t="shared" ref="AC329:AC366" si="471">ROUND(IF(AQ329="1",BI329,0),2)</f>
        <v>0</v>
      </c>
      <c r="AD329" s="24">
        <f t="shared" ref="AD329:AD366" si="472">ROUND(IF(AQ329="7",BH329,0),2)</f>
        <v>0</v>
      </c>
      <c r="AE329" s="24">
        <f t="shared" ref="AE329:AE366" si="473">ROUND(IF(AQ329="7",BI329,0),2)</f>
        <v>0</v>
      </c>
      <c r="AF329" s="24">
        <f t="shared" ref="AF329:AF366" si="474">ROUND(IF(AQ329="2",BH329,0),2)</f>
        <v>0</v>
      </c>
      <c r="AG329" s="24">
        <f t="shared" ref="AG329:AG366" si="475">ROUND(IF(AQ329="2",BI329,0),2)</f>
        <v>0</v>
      </c>
      <c r="AH329" s="24">
        <f t="shared" ref="AH329:AH366" si="476">ROUND(IF(AQ329="0",BJ329,0),2)</f>
        <v>0</v>
      </c>
      <c r="AI329" s="10" t="s">
        <v>43</v>
      </c>
      <c r="AJ329" s="24">
        <f t="shared" ref="AJ329:AJ366" si="477">IF(AN329=0,J329,0)</f>
        <v>0</v>
      </c>
      <c r="AK329" s="24">
        <f t="shared" ref="AK329:AK366" si="478">IF(AN329=12,J329,0)</f>
        <v>0</v>
      </c>
      <c r="AL329" s="24">
        <f t="shared" ref="AL329:AL366" si="479">IF(AN329=21,J329,0)</f>
        <v>0</v>
      </c>
      <c r="AN329" s="24">
        <v>21</v>
      </c>
      <c r="AO329" s="24">
        <f t="shared" ref="AO329:AO366" si="480">G329*0</f>
        <v>0</v>
      </c>
      <c r="AP329" s="24">
        <f t="shared" ref="AP329:AP366" si="481">G329*(1-0)</f>
        <v>0</v>
      </c>
      <c r="AQ329" s="26" t="s">
        <v>46</v>
      </c>
      <c r="AV329" s="24">
        <f t="shared" ref="AV329:AV366" si="482">ROUND(AW329+AX329,2)</f>
        <v>0</v>
      </c>
      <c r="AW329" s="24">
        <f t="shared" ref="AW329:AW366" si="483">ROUND(F329*AO329,2)</f>
        <v>0</v>
      </c>
      <c r="AX329" s="24">
        <f t="shared" ref="AX329:AX366" si="484">ROUND(F329*AP329,2)</f>
        <v>0</v>
      </c>
      <c r="AY329" s="26" t="s">
        <v>945</v>
      </c>
      <c r="AZ329" s="26" t="s">
        <v>427</v>
      </c>
      <c r="BA329" s="10" t="s">
        <v>52</v>
      </c>
      <c r="BC329" s="24">
        <f t="shared" ref="BC329:BC366" si="485">AW329+AX329</f>
        <v>0</v>
      </c>
      <c r="BD329" s="24">
        <f t="shared" ref="BD329:BD366" si="486">G329/(100-BE329)*100</f>
        <v>0</v>
      </c>
      <c r="BE329" s="24">
        <v>0</v>
      </c>
      <c r="BF329" s="24">
        <f>326</f>
        <v>326</v>
      </c>
      <c r="BH329" s="24">
        <f t="shared" ref="BH329:BH366" si="487">F329*AO329</f>
        <v>0</v>
      </c>
      <c r="BI329" s="24">
        <f t="shared" ref="BI329:BI366" si="488">F329*AP329</f>
        <v>0</v>
      </c>
      <c r="BJ329" s="24">
        <f t="shared" ref="BJ329:BJ366" si="489">F329*G329</f>
        <v>0</v>
      </c>
      <c r="BK329" s="26" t="s">
        <v>53</v>
      </c>
      <c r="BL329" s="24"/>
      <c r="BW329" s="24">
        <v>21</v>
      </c>
      <c r="BX329" s="4" t="s">
        <v>944</v>
      </c>
    </row>
    <row r="330" spans="1:76" ht="14.4" x14ac:dyDescent="0.3">
      <c r="A330" s="2" t="s">
        <v>946</v>
      </c>
      <c r="B330" s="3" t="s">
        <v>943</v>
      </c>
      <c r="C330" s="82" t="s">
        <v>947</v>
      </c>
      <c r="D330" s="81"/>
      <c r="E330" s="3" t="s">
        <v>174</v>
      </c>
      <c r="F330" s="24">
        <v>1</v>
      </c>
      <c r="G330" s="180">
        <v>0</v>
      </c>
      <c r="H330" s="24">
        <f t="shared" si="466"/>
        <v>0</v>
      </c>
      <c r="I330" s="24">
        <f t="shared" si="467"/>
        <v>0</v>
      </c>
      <c r="J330" s="24">
        <f t="shared" si="468"/>
        <v>0</v>
      </c>
      <c r="K330" s="25"/>
      <c r="Z330" s="24">
        <f t="shared" si="469"/>
        <v>0</v>
      </c>
      <c r="AB330" s="24">
        <f t="shared" si="470"/>
        <v>0</v>
      </c>
      <c r="AC330" s="24">
        <f t="shared" si="471"/>
        <v>0</v>
      </c>
      <c r="AD330" s="24">
        <f t="shared" si="472"/>
        <v>0</v>
      </c>
      <c r="AE330" s="24">
        <f t="shared" si="473"/>
        <v>0</v>
      </c>
      <c r="AF330" s="24">
        <f t="shared" si="474"/>
        <v>0</v>
      </c>
      <c r="AG330" s="24">
        <f t="shared" si="475"/>
        <v>0</v>
      </c>
      <c r="AH330" s="24">
        <f t="shared" si="476"/>
        <v>0</v>
      </c>
      <c r="AI330" s="10" t="s">
        <v>43</v>
      </c>
      <c r="AJ330" s="24">
        <f t="shared" si="477"/>
        <v>0</v>
      </c>
      <c r="AK330" s="24">
        <f t="shared" si="478"/>
        <v>0</v>
      </c>
      <c r="AL330" s="24">
        <f t="shared" si="479"/>
        <v>0</v>
      </c>
      <c r="AN330" s="24">
        <v>21</v>
      </c>
      <c r="AO330" s="24">
        <f t="shared" si="480"/>
        <v>0</v>
      </c>
      <c r="AP330" s="24">
        <f t="shared" si="481"/>
        <v>0</v>
      </c>
      <c r="AQ330" s="26" t="s">
        <v>46</v>
      </c>
      <c r="AV330" s="24">
        <f t="shared" si="482"/>
        <v>0</v>
      </c>
      <c r="AW330" s="24">
        <f t="shared" si="483"/>
        <v>0</v>
      </c>
      <c r="AX330" s="24">
        <f t="shared" si="484"/>
        <v>0</v>
      </c>
      <c r="AY330" s="26" t="s">
        <v>945</v>
      </c>
      <c r="AZ330" s="26" t="s">
        <v>427</v>
      </c>
      <c r="BA330" s="10" t="s">
        <v>52</v>
      </c>
      <c r="BC330" s="24">
        <f t="shared" si="485"/>
        <v>0</v>
      </c>
      <c r="BD330" s="24">
        <f t="shared" si="486"/>
        <v>0</v>
      </c>
      <c r="BE330" s="24">
        <v>0</v>
      </c>
      <c r="BF330" s="24">
        <f>327</f>
        <v>327</v>
      </c>
      <c r="BH330" s="24">
        <f t="shared" si="487"/>
        <v>0</v>
      </c>
      <c r="BI330" s="24">
        <f t="shared" si="488"/>
        <v>0</v>
      </c>
      <c r="BJ330" s="24">
        <f t="shared" si="489"/>
        <v>0</v>
      </c>
      <c r="BK330" s="26" t="s">
        <v>53</v>
      </c>
      <c r="BL330" s="24"/>
      <c r="BW330" s="24">
        <v>21</v>
      </c>
      <c r="BX330" s="4" t="s">
        <v>947</v>
      </c>
    </row>
    <row r="331" spans="1:76" ht="14.4" x14ac:dyDescent="0.3">
      <c r="A331" s="2" t="s">
        <v>948</v>
      </c>
      <c r="B331" s="3" t="s">
        <v>943</v>
      </c>
      <c r="C331" s="82" t="s">
        <v>949</v>
      </c>
      <c r="D331" s="81"/>
      <c r="E331" s="3" t="s">
        <v>174</v>
      </c>
      <c r="F331" s="24">
        <v>5</v>
      </c>
      <c r="G331" s="180">
        <v>0</v>
      </c>
      <c r="H331" s="24">
        <f t="shared" si="466"/>
        <v>0</v>
      </c>
      <c r="I331" s="24">
        <f t="shared" si="467"/>
        <v>0</v>
      </c>
      <c r="J331" s="24">
        <f t="shared" si="468"/>
        <v>0</v>
      </c>
      <c r="K331" s="25"/>
      <c r="Z331" s="24">
        <f t="shared" si="469"/>
        <v>0</v>
      </c>
      <c r="AB331" s="24">
        <f t="shared" si="470"/>
        <v>0</v>
      </c>
      <c r="AC331" s="24">
        <f t="shared" si="471"/>
        <v>0</v>
      </c>
      <c r="AD331" s="24">
        <f t="shared" si="472"/>
        <v>0</v>
      </c>
      <c r="AE331" s="24">
        <f t="shared" si="473"/>
        <v>0</v>
      </c>
      <c r="AF331" s="24">
        <f t="shared" si="474"/>
        <v>0</v>
      </c>
      <c r="AG331" s="24">
        <f t="shared" si="475"/>
        <v>0</v>
      </c>
      <c r="AH331" s="24">
        <f t="shared" si="476"/>
        <v>0</v>
      </c>
      <c r="AI331" s="10" t="s">
        <v>43</v>
      </c>
      <c r="AJ331" s="24">
        <f t="shared" si="477"/>
        <v>0</v>
      </c>
      <c r="AK331" s="24">
        <f t="shared" si="478"/>
        <v>0</v>
      </c>
      <c r="AL331" s="24">
        <f t="shared" si="479"/>
        <v>0</v>
      </c>
      <c r="AN331" s="24">
        <v>21</v>
      </c>
      <c r="AO331" s="24">
        <f t="shared" si="480"/>
        <v>0</v>
      </c>
      <c r="AP331" s="24">
        <f t="shared" si="481"/>
        <v>0</v>
      </c>
      <c r="AQ331" s="26" t="s">
        <v>46</v>
      </c>
      <c r="AV331" s="24">
        <f t="shared" si="482"/>
        <v>0</v>
      </c>
      <c r="AW331" s="24">
        <f t="shared" si="483"/>
        <v>0</v>
      </c>
      <c r="AX331" s="24">
        <f t="shared" si="484"/>
        <v>0</v>
      </c>
      <c r="AY331" s="26" t="s">
        <v>945</v>
      </c>
      <c r="AZ331" s="26" t="s">
        <v>427</v>
      </c>
      <c r="BA331" s="10" t="s">
        <v>52</v>
      </c>
      <c r="BC331" s="24">
        <f t="shared" si="485"/>
        <v>0</v>
      </c>
      <c r="BD331" s="24">
        <f t="shared" si="486"/>
        <v>0</v>
      </c>
      <c r="BE331" s="24">
        <v>0</v>
      </c>
      <c r="BF331" s="24">
        <f>328</f>
        <v>328</v>
      </c>
      <c r="BH331" s="24">
        <f t="shared" si="487"/>
        <v>0</v>
      </c>
      <c r="BI331" s="24">
        <f t="shared" si="488"/>
        <v>0</v>
      </c>
      <c r="BJ331" s="24">
        <f t="shared" si="489"/>
        <v>0</v>
      </c>
      <c r="BK331" s="26" t="s">
        <v>53</v>
      </c>
      <c r="BL331" s="24"/>
      <c r="BW331" s="24">
        <v>21</v>
      </c>
      <c r="BX331" s="4" t="s">
        <v>949</v>
      </c>
    </row>
    <row r="332" spans="1:76" ht="26.4" x14ac:dyDescent="0.3">
      <c r="A332" s="2" t="s">
        <v>950</v>
      </c>
      <c r="B332" s="3" t="s">
        <v>943</v>
      </c>
      <c r="C332" s="82" t="s">
        <v>951</v>
      </c>
      <c r="D332" s="81"/>
      <c r="E332" s="3" t="s">
        <v>174</v>
      </c>
      <c r="F332" s="24">
        <v>1</v>
      </c>
      <c r="G332" s="180">
        <v>0</v>
      </c>
      <c r="H332" s="24">
        <f t="shared" si="466"/>
        <v>0</v>
      </c>
      <c r="I332" s="24">
        <f t="shared" si="467"/>
        <v>0</v>
      </c>
      <c r="J332" s="24">
        <f t="shared" si="468"/>
        <v>0</v>
      </c>
      <c r="K332" s="25"/>
      <c r="Z332" s="24">
        <f t="shared" si="469"/>
        <v>0</v>
      </c>
      <c r="AB332" s="24">
        <f t="shared" si="470"/>
        <v>0</v>
      </c>
      <c r="AC332" s="24">
        <f t="shared" si="471"/>
        <v>0</v>
      </c>
      <c r="AD332" s="24">
        <f t="shared" si="472"/>
        <v>0</v>
      </c>
      <c r="AE332" s="24">
        <f t="shared" si="473"/>
        <v>0</v>
      </c>
      <c r="AF332" s="24">
        <f t="shared" si="474"/>
        <v>0</v>
      </c>
      <c r="AG332" s="24">
        <f t="shared" si="475"/>
        <v>0</v>
      </c>
      <c r="AH332" s="24">
        <f t="shared" si="476"/>
        <v>0</v>
      </c>
      <c r="AI332" s="10" t="s">
        <v>43</v>
      </c>
      <c r="AJ332" s="24">
        <f t="shared" si="477"/>
        <v>0</v>
      </c>
      <c r="AK332" s="24">
        <f t="shared" si="478"/>
        <v>0</v>
      </c>
      <c r="AL332" s="24">
        <f t="shared" si="479"/>
        <v>0</v>
      </c>
      <c r="AN332" s="24">
        <v>21</v>
      </c>
      <c r="AO332" s="24">
        <f t="shared" si="480"/>
        <v>0</v>
      </c>
      <c r="AP332" s="24">
        <f t="shared" si="481"/>
        <v>0</v>
      </c>
      <c r="AQ332" s="26" t="s">
        <v>46</v>
      </c>
      <c r="AV332" s="24">
        <f t="shared" si="482"/>
        <v>0</v>
      </c>
      <c r="AW332" s="24">
        <f t="shared" si="483"/>
        <v>0</v>
      </c>
      <c r="AX332" s="24">
        <f t="shared" si="484"/>
        <v>0</v>
      </c>
      <c r="AY332" s="26" t="s">
        <v>945</v>
      </c>
      <c r="AZ332" s="26" t="s">
        <v>427</v>
      </c>
      <c r="BA332" s="10" t="s">
        <v>52</v>
      </c>
      <c r="BC332" s="24">
        <f t="shared" si="485"/>
        <v>0</v>
      </c>
      <c r="BD332" s="24">
        <f t="shared" si="486"/>
        <v>0</v>
      </c>
      <c r="BE332" s="24">
        <v>0</v>
      </c>
      <c r="BF332" s="24">
        <f>329</f>
        <v>329</v>
      </c>
      <c r="BH332" s="24">
        <f t="shared" si="487"/>
        <v>0</v>
      </c>
      <c r="BI332" s="24">
        <f t="shared" si="488"/>
        <v>0</v>
      </c>
      <c r="BJ332" s="24">
        <f t="shared" si="489"/>
        <v>0</v>
      </c>
      <c r="BK332" s="26" t="s">
        <v>53</v>
      </c>
      <c r="BL332" s="24"/>
      <c r="BW332" s="24">
        <v>21</v>
      </c>
      <c r="BX332" s="4" t="s">
        <v>951</v>
      </c>
    </row>
    <row r="333" spans="1:76" ht="14.4" x14ac:dyDescent="0.3">
      <c r="A333" s="2" t="s">
        <v>952</v>
      </c>
      <c r="B333" s="3" t="s">
        <v>943</v>
      </c>
      <c r="C333" s="82" t="s">
        <v>953</v>
      </c>
      <c r="D333" s="81"/>
      <c r="E333" s="3" t="s">
        <v>174</v>
      </c>
      <c r="F333" s="24">
        <v>3</v>
      </c>
      <c r="G333" s="180">
        <v>0</v>
      </c>
      <c r="H333" s="24">
        <f t="shared" si="466"/>
        <v>0</v>
      </c>
      <c r="I333" s="24">
        <f t="shared" si="467"/>
        <v>0</v>
      </c>
      <c r="J333" s="24">
        <f t="shared" si="468"/>
        <v>0</v>
      </c>
      <c r="K333" s="25"/>
      <c r="Z333" s="24">
        <f t="shared" si="469"/>
        <v>0</v>
      </c>
      <c r="AB333" s="24">
        <f t="shared" si="470"/>
        <v>0</v>
      </c>
      <c r="AC333" s="24">
        <f t="shared" si="471"/>
        <v>0</v>
      </c>
      <c r="AD333" s="24">
        <f t="shared" si="472"/>
        <v>0</v>
      </c>
      <c r="AE333" s="24">
        <f t="shared" si="473"/>
        <v>0</v>
      </c>
      <c r="AF333" s="24">
        <f t="shared" si="474"/>
        <v>0</v>
      </c>
      <c r="AG333" s="24">
        <f t="shared" si="475"/>
        <v>0</v>
      </c>
      <c r="AH333" s="24">
        <f t="shared" si="476"/>
        <v>0</v>
      </c>
      <c r="AI333" s="10" t="s">
        <v>43</v>
      </c>
      <c r="AJ333" s="24">
        <f t="shared" si="477"/>
        <v>0</v>
      </c>
      <c r="AK333" s="24">
        <f t="shared" si="478"/>
        <v>0</v>
      </c>
      <c r="AL333" s="24">
        <f t="shared" si="479"/>
        <v>0</v>
      </c>
      <c r="AN333" s="24">
        <v>21</v>
      </c>
      <c r="AO333" s="24">
        <f t="shared" si="480"/>
        <v>0</v>
      </c>
      <c r="AP333" s="24">
        <f t="shared" si="481"/>
        <v>0</v>
      </c>
      <c r="AQ333" s="26" t="s">
        <v>46</v>
      </c>
      <c r="AV333" s="24">
        <f t="shared" si="482"/>
        <v>0</v>
      </c>
      <c r="AW333" s="24">
        <f t="shared" si="483"/>
        <v>0</v>
      </c>
      <c r="AX333" s="24">
        <f t="shared" si="484"/>
        <v>0</v>
      </c>
      <c r="AY333" s="26" t="s">
        <v>945</v>
      </c>
      <c r="AZ333" s="26" t="s">
        <v>427</v>
      </c>
      <c r="BA333" s="10" t="s">
        <v>52</v>
      </c>
      <c r="BC333" s="24">
        <f t="shared" si="485"/>
        <v>0</v>
      </c>
      <c r="BD333" s="24">
        <f t="shared" si="486"/>
        <v>0</v>
      </c>
      <c r="BE333" s="24">
        <v>0</v>
      </c>
      <c r="BF333" s="24">
        <f>330</f>
        <v>330</v>
      </c>
      <c r="BH333" s="24">
        <f t="shared" si="487"/>
        <v>0</v>
      </c>
      <c r="BI333" s="24">
        <f t="shared" si="488"/>
        <v>0</v>
      </c>
      <c r="BJ333" s="24">
        <f t="shared" si="489"/>
        <v>0</v>
      </c>
      <c r="BK333" s="26" t="s">
        <v>53</v>
      </c>
      <c r="BL333" s="24"/>
      <c r="BW333" s="24">
        <v>21</v>
      </c>
      <c r="BX333" s="4" t="s">
        <v>953</v>
      </c>
    </row>
    <row r="334" spans="1:76" ht="26.4" x14ac:dyDescent="0.3">
      <c r="A334" s="2" t="s">
        <v>954</v>
      </c>
      <c r="B334" s="3" t="s">
        <v>943</v>
      </c>
      <c r="C334" s="82" t="s">
        <v>843</v>
      </c>
      <c r="D334" s="81"/>
      <c r="E334" s="3" t="s">
        <v>174</v>
      </c>
      <c r="F334" s="24">
        <v>11</v>
      </c>
      <c r="G334" s="180">
        <v>0</v>
      </c>
      <c r="H334" s="24">
        <f t="shared" si="466"/>
        <v>0</v>
      </c>
      <c r="I334" s="24">
        <f t="shared" si="467"/>
        <v>0</v>
      </c>
      <c r="J334" s="24">
        <f t="shared" si="468"/>
        <v>0</v>
      </c>
      <c r="K334" s="25"/>
      <c r="Z334" s="24">
        <f t="shared" si="469"/>
        <v>0</v>
      </c>
      <c r="AB334" s="24">
        <f t="shared" si="470"/>
        <v>0</v>
      </c>
      <c r="AC334" s="24">
        <f t="shared" si="471"/>
        <v>0</v>
      </c>
      <c r="AD334" s="24">
        <f t="shared" si="472"/>
        <v>0</v>
      </c>
      <c r="AE334" s="24">
        <f t="shared" si="473"/>
        <v>0</v>
      </c>
      <c r="AF334" s="24">
        <f t="shared" si="474"/>
        <v>0</v>
      </c>
      <c r="AG334" s="24">
        <f t="shared" si="475"/>
        <v>0</v>
      </c>
      <c r="AH334" s="24">
        <f t="shared" si="476"/>
        <v>0</v>
      </c>
      <c r="AI334" s="10" t="s">
        <v>43</v>
      </c>
      <c r="AJ334" s="24">
        <f t="shared" si="477"/>
        <v>0</v>
      </c>
      <c r="AK334" s="24">
        <f t="shared" si="478"/>
        <v>0</v>
      </c>
      <c r="AL334" s="24">
        <f t="shared" si="479"/>
        <v>0</v>
      </c>
      <c r="AN334" s="24">
        <v>21</v>
      </c>
      <c r="AO334" s="24">
        <f t="shared" si="480"/>
        <v>0</v>
      </c>
      <c r="AP334" s="24">
        <f t="shared" si="481"/>
        <v>0</v>
      </c>
      <c r="AQ334" s="26" t="s">
        <v>46</v>
      </c>
      <c r="AV334" s="24">
        <f t="shared" si="482"/>
        <v>0</v>
      </c>
      <c r="AW334" s="24">
        <f t="shared" si="483"/>
        <v>0</v>
      </c>
      <c r="AX334" s="24">
        <f t="shared" si="484"/>
        <v>0</v>
      </c>
      <c r="AY334" s="26" t="s">
        <v>945</v>
      </c>
      <c r="AZ334" s="26" t="s">
        <v>427</v>
      </c>
      <c r="BA334" s="10" t="s">
        <v>52</v>
      </c>
      <c r="BC334" s="24">
        <f t="shared" si="485"/>
        <v>0</v>
      </c>
      <c r="BD334" s="24">
        <f t="shared" si="486"/>
        <v>0</v>
      </c>
      <c r="BE334" s="24">
        <v>0</v>
      </c>
      <c r="BF334" s="24">
        <f>331</f>
        <v>331</v>
      </c>
      <c r="BH334" s="24">
        <f t="shared" si="487"/>
        <v>0</v>
      </c>
      <c r="BI334" s="24">
        <f t="shared" si="488"/>
        <v>0</v>
      </c>
      <c r="BJ334" s="24">
        <f t="shared" si="489"/>
        <v>0</v>
      </c>
      <c r="BK334" s="26" t="s">
        <v>53</v>
      </c>
      <c r="BL334" s="24"/>
      <c r="BW334" s="24">
        <v>21</v>
      </c>
      <c r="BX334" s="4" t="s">
        <v>843</v>
      </c>
    </row>
    <row r="335" spans="1:76" ht="14.4" x14ac:dyDescent="0.3">
      <c r="A335" s="2" t="s">
        <v>955</v>
      </c>
      <c r="B335" s="3" t="s">
        <v>943</v>
      </c>
      <c r="C335" s="82" t="s">
        <v>956</v>
      </c>
      <c r="D335" s="81"/>
      <c r="E335" s="3" t="s">
        <v>174</v>
      </c>
      <c r="F335" s="24">
        <v>65</v>
      </c>
      <c r="G335" s="180">
        <v>0</v>
      </c>
      <c r="H335" s="24">
        <f t="shared" si="466"/>
        <v>0</v>
      </c>
      <c r="I335" s="24">
        <f t="shared" si="467"/>
        <v>0</v>
      </c>
      <c r="J335" s="24">
        <f t="shared" si="468"/>
        <v>0</v>
      </c>
      <c r="K335" s="25"/>
      <c r="Z335" s="24">
        <f t="shared" si="469"/>
        <v>0</v>
      </c>
      <c r="AB335" s="24">
        <f t="shared" si="470"/>
        <v>0</v>
      </c>
      <c r="AC335" s="24">
        <f t="shared" si="471"/>
        <v>0</v>
      </c>
      <c r="AD335" s="24">
        <f t="shared" si="472"/>
        <v>0</v>
      </c>
      <c r="AE335" s="24">
        <f t="shared" si="473"/>
        <v>0</v>
      </c>
      <c r="AF335" s="24">
        <f t="shared" si="474"/>
        <v>0</v>
      </c>
      <c r="AG335" s="24">
        <f t="shared" si="475"/>
        <v>0</v>
      </c>
      <c r="AH335" s="24">
        <f t="shared" si="476"/>
        <v>0</v>
      </c>
      <c r="AI335" s="10" t="s">
        <v>43</v>
      </c>
      <c r="AJ335" s="24">
        <f t="shared" si="477"/>
        <v>0</v>
      </c>
      <c r="AK335" s="24">
        <f t="shared" si="478"/>
        <v>0</v>
      </c>
      <c r="AL335" s="24">
        <f t="shared" si="479"/>
        <v>0</v>
      </c>
      <c r="AN335" s="24">
        <v>21</v>
      </c>
      <c r="AO335" s="24">
        <f t="shared" si="480"/>
        <v>0</v>
      </c>
      <c r="AP335" s="24">
        <f t="shared" si="481"/>
        <v>0</v>
      </c>
      <c r="AQ335" s="26" t="s">
        <v>46</v>
      </c>
      <c r="AV335" s="24">
        <f t="shared" si="482"/>
        <v>0</v>
      </c>
      <c r="AW335" s="24">
        <f t="shared" si="483"/>
        <v>0</v>
      </c>
      <c r="AX335" s="24">
        <f t="shared" si="484"/>
        <v>0</v>
      </c>
      <c r="AY335" s="26" t="s">
        <v>945</v>
      </c>
      <c r="AZ335" s="26" t="s">
        <v>427</v>
      </c>
      <c r="BA335" s="10" t="s">
        <v>52</v>
      </c>
      <c r="BC335" s="24">
        <f t="shared" si="485"/>
        <v>0</v>
      </c>
      <c r="BD335" s="24">
        <f t="shared" si="486"/>
        <v>0</v>
      </c>
      <c r="BE335" s="24">
        <v>0</v>
      </c>
      <c r="BF335" s="24">
        <f>332</f>
        <v>332</v>
      </c>
      <c r="BH335" s="24">
        <f t="shared" si="487"/>
        <v>0</v>
      </c>
      <c r="BI335" s="24">
        <f t="shared" si="488"/>
        <v>0</v>
      </c>
      <c r="BJ335" s="24">
        <f t="shared" si="489"/>
        <v>0</v>
      </c>
      <c r="BK335" s="26" t="s">
        <v>53</v>
      </c>
      <c r="BL335" s="24"/>
      <c r="BW335" s="24">
        <v>21</v>
      </c>
      <c r="BX335" s="4" t="s">
        <v>956</v>
      </c>
    </row>
    <row r="336" spans="1:76" ht="14.4" x14ac:dyDescent="0.3">
      <c r="A336" s="2" t="s">
        <v>957</v>
      </c>
      <c r="B336" s="3" t="s">
        <v>943</v>
      </c>
      <c r="C336" s="82" t="s">
        <v>958</v>
      </c>
      <c r="D336" s="81"/>
      <c r="E336" s="3" t="s">
        <v>91</v>
      </c>
      <c r="F336" s="24">
        <v>390</v>
      </c>
      <c r="G336" s="180">
        <v>0</v>
      </c>
      <c r="H336" s="24">
        <f t="shared" si="466"/>
        <v>0</v>
      </c>
      <c r="I336" s="24">
        <f t="shared" si="467"/>
        <v>0</v>
      </c>
      <c r="J336" s="24">
        <f t="shared" si="468"/>
        <v>0</v>
      </c>
      <c r="K336" s="25"/>
      <c r="Z336" s="24">
        <f t="shared" si="469"/>
        <v>0</v>
      </c>
      <c r="AB336" s="24">
        <f t="shared" si="470"/>
        <v>0</v>
      </c>
      <c r="AC336" s="24">
        <f t="shared" si="471"/>
        <v>0</v>
      </c>
      <c r="AD336" s="24">
        <f t="shared" si="472"/>
        <v>0</v>
      </c>
      <c r="AE336" s="24">
        <f t="shared" si="473"/>
        <v>0</v>
      </c>
      <c r="AF336" s="24">
        <f t="shared" si="474"/>
        <v>0</v>
      </c>
      <c r="AG336" s="24">
        <f t="shared" si="475"/>
        <v>0</v>
      </c>
      <c r="AH336" s="24">
        <f t="shared" si="476"/>
        <v>0</v>
      </c>
      <c r="AI336" s="10" t="s">
        <v>43</v>
      </c>
      <c r="AJ336" s="24">
        <f t="shared" si="477"/>
        <v>0</v>
      </c>
      <c r="AK336" s="24">
        <f t="shared" si="478"/>
        <v>0</v>
      </c>
      <c r="AL336" s="24">
        <f t="shared" si="479"/>
        <v>0</v>
      </c>
      <c r="AN336" s="24">
        <v>21</v>
      </c>
      <c r="AO336" s="24">
        <f t="shared" si="480"/>
        <v>0</v>
      </c>
      <c r="AP336" s="24">
        <f t="shared" si="481"/>
        <v>0</v>
      </c>
      <c r="AQ336" s="26" t="s">
        <v>46</v>
      </c>
      <c r="AV336" s="24">
        <f t="shared" si="482"/>
        <v>0</v>
      </c>
      <c r="AW336" s="24">
        <f t="shared" si="483"/>
        <v>0</v>
      </c>
      <c r="AX336" s="24">
        <f t="shared" si="484"/>
        <v>0</v>
      </c>
      <c r="AY336" s="26" t="s">
        <v>945</v>
      </c>
      <c r="AZ336" s="26" t="s">
        <v>427</v>
      </c>
      <c r="BA336" s="10" t="s">
        <v>52</v>
      </c>
      <c r="BC336" s="24">
        <f t="shared" si="485"/>
        <v>0</v>
      </c>
      <c r="BD336" s="24">
        <f t="shared" si="486"/>
        <v>0</v>
      </c>
      <c r="BE336" s="24">
        <v>0</v>
      </c>
      <c r="BF336" s="24">
        <f>333</f>
        <v>333</v>
      </c>
      <c r="BH336" s="24">
        <f t="shared" si="487"/>
        <v>0</v>
      </c>
      <c r="BI336" s="24">
        <f t="shared" si="488"/>
        <v>0</v>
      </c>
      <c r="BJ336" s="24">
        <f t="shared" si="489"/>
        <v>0</v>
      </c>
      <c r="BK336" s="26" t="s">
        <v>53</v>
      </c>
      <c r="BL336" s="24"/>
      <c r="BW336" s="24">
        <v>21</v>
      </c>
      <c r="BX336" s="4" t="s">
        <v>958</v>
      </c>
    </row>
    <row r="337" spans="1:76" ht="14.4" x14ac:dyDescent="0.3">
      <c r="A337" s="2" t="s">
        <v>959</v>
      </c>
      <c r="B337" s="3" t="s">
        <v>943</v>
      </c>
      <c r="C337" s="82" t="s">
        <v>960</v>
      </c>
      <c r="D337" s="81"/>
      <c r="E337" s="3" t="s">
        <v>91</v>
      </c>
      <c r="F337" s="24">
        <v>30</v>
      </c>
      <c r="G337" s="180">
        <v>0</v>
      </c>
      <c r="H337" s="24">
        <f t="shared" si="466"/>
        <v>0</v>
      </c>
      <c r="I337" s="24">
        <f t="shared" si="467"/>
        <v>0</v>
      </c>
      <c r="J337" s="24">
        <f t="shared" si="468"/>
        <v>0</v>
      </c>
      <c r="K337" s="25"/>
      <c r="Z337" s="24">
        <f t="shared" si="469"/>
        <v>0</v>
      </c>
      <c r="AB337" s="24">
        <f t="shared" si="470"/>
        <v>0</v>
      </c>
      <c r="AC337" s="24">
        <f t="shared" si="471"/>
        <v>0</v>
      </c>
      <c r="AD337" s="24">
        <f t="shared" si="472"/>
        <v>0</v>
      </c>
      <c r="AE337" s="24">
        <f t="shared" si="473"/>
        <v>0</v>
      </c>
      <c r="AF337" s="24">
        <f t="shared" si="474"/>
        <v>0</v>
      </c>
      <c r="AG337" s="24">
        <f t="shared" si="475"/>
        <v>0</v>
      </c>
      <c r="AH337" s="24">
        <f t="shared" si="476"/>
        <v>0</v>
      </c>
      <c r="AI337" s="10" t="s">
        <v>43</v>
      </c>
      <c r="AJ337" s="24">
        <f t="shared" si="477"/>
        <v>0</v>
      </c>
      <c r="AK337" s="24">
        <f t="shared" si="478"/>
        <v>0</v>
      </c>
      <c r="AL337" s="24">
        <f t="shared" si="479"/>
        <v>0</v>
      </c>
      <c r="AN337" s="24">
        <v>21</v>
      </c>
      <c r="AO337" s="24">
        <f t="shared" si="480"/>
        <v>0</v>
      </c>
      <c r="AP337" s="24">
        <f t="shared" si="481"/>
        <v>0</v>
      </c>
      <c r="AQ337" s="26" t="s">
        <v>46</v>
      </c>
      <c r="AV337" s="24">
        <f t="shared" si="482"/>
        <v>0</v>
      </c>
      <c r="AW337" s="24">
        <f t="shared" si="483"/>
        <v>0</v>
      </c>
      <c r="AX337" s="24">
        <f t="shared" si="484"/>
        <v>0</v>
      </c>
      <c r="AY337" s="26" t="s">
        <v>945</v>
      </c>
      <c r="AZ337" s="26" t="s">
        <v>427</v>
      </c>
      <c r="BA337" s="10" t="s">
        <v>52</v>
      </c>
      <c r="BC337" s="24">
        <f t="shared" si="485"/>
        <v>0</v>
      </c>
      <c r="BD337" s="24">
        <f t="shared" si="486"/>
        <v>0</v>
      </c>
      <c r="BE337" s="24">
        <v>0</v>
      </c>
      <c r="BF337" s="24">
        <f>334</f>
        <v>334</v>
      </c>
      <c r="BH337" s="24">
        <f t="shared" si="487"/>
        <v>0</v>
      </c>
      <c r="BI337" s="24">
        <f t="shared" si="488"/>
        <v>0</v>
      </c>
      <c r="BJ337" s="24">
        <f t="shared" si="489"/>
        <v>0</v>
      </c>
      <c r="BK337" s="26" t="s">
        <v>53</v>
      </c>
      <c r="BL337" s="24"/>
      <c r="BW337" s="24">
        <v>21</v>
      </c>
      <c r="BX337" s="4" t="s">
        <v>960</v>
      </c>
    </row>
    <row r="338" spans="1:76" ht="14.4" x14ac:dyDescent="0.3">
      <c r="A338" s="2" t="s">
        <v>961</v>
      </c>
      <c r="B338" s="3" t="s">
        <v>943</v>
      </c>
      <c r="C338" s="82" t="s">
        <v>962</v>
      </c>
      <c r="D338" s="81"/>
      <c r="E338" s="3" t="s">
        <v>174</v>
      </c>
      <c r="F338" s="24">
        <v>120</v>
      </c>
      <c r="G338" s="180">
        <v>0</v>
      </c>
      <c r="H338" s="24">
        <f t="shared" si="466"/>
        <v>0</v>
      </c>
      <c r="I338" s="24">
        <f t="shared" si="467"/>
        <v>0</v>
      </c>
      <c r="J338" s="24">
        <f t="shared" si="468"/>
        <v>0</v>
      </c>
      <c r="K338" s="25"/>
      <c r="Z338" s="24">
        <f t="shared" si="469"/>
        <v>0</v>
      </c>
      <c r="AB338" s="24">
        <f t="shared" si="470"/>
        <v>0</v>
      </c>
      <c r="AC338" s="24">
        <f t="shared" si="471"/>
        <v>0</v>
      </c>
      <c r="AD338" s="24">
        <f t="shared" si="472"/>
        <v>0</v>
      </c>
      <c r="AE338" s="24">
        <f t="shared" si="473"/>
        <v>0</v>
      </c>
      <c r="AF338" s="24">
        <f t="shared" si="474"/>
        <v>0</v>
      </c>
      <c r="AG338" s="24">
        <f t="shared" si="475"/>
        <v>0</v>
      </c>
      <c r="AH338" s="24">
        <f t="shared" si="476"/>
        <v>0</v>
      </c>
      <c r="AI338" s="10" t="s">
        <v>43</v>
      </c>
      <c r="AJ338" s="24">
        <f t="shared" si="477"/>
        <v>0</v>
      </c>
      <c r="AK338" s="24">
        <f t="shared" si="478"/>
        <v>0</v>
      </c>
      <c r="AL338" s="24">
        <f t="shared" si="479"/>
        <v>0</v>
      </c>
      <c r="AN338" s="24">
        <v>21</v>
      </c>
      <c r="AO338" s="24">
        <f t="shared" si="480"/>
        <v>0</v>
      </c>
      <c r="AP338" s="24">
        <f t="shared" si="481"/>
        <v>0</v>
      </c>
      <c r="AQ338" s="26" t="s">
        <v>46</v>
      </c>
      <c r="AV338" s="24">
        <f t="shared" si="482"/>
        <v>0</v>
      </c>
      <c r="AW338" s="24">
        <f t="shared" si="483"/>
        <v>0</v>
      </c>
      <c r="AX338" s="24">
        <f t="shared" si="484"/>
        <v>0</v>
      </c>
      <c r="AY338" s="26" t="s">
        <v>945</v>
      </c>
      <c r="AZ338" s="26" t="s">
        <v>427</v>
      </c>
      <c r="BA338" s="10" t="s">
        <v>52</v>
      </c>
      <c r="BC338" s="24">
        <f t="shared" si="485"/>
        <v>0</v>
      </c>
      <c r="BD338" s="24">
        <f t="shared" si="486"/>
        <v>0</v>
      </c>
      <c r="BE338" s="24">
        <v>0</v>
      </c>
      <c r="BF338" s="24">
        <f>335</f>
        <v>335</v>
      </c>
      <c r="BH338" s="24">
        <f t="shared" si="487"/>
        <v>0</v>
      </c>
      <c r="BI338" s="24">
        <f t="shared" si="488"/>
        <v>0</v>
      </c>
      <c r="BJ338" s="24">
        <f t="shared" si="489"/>
        <v>0</v>
      </c>
      <c r="BK338" s="26" t="s">
        <v>53</v>
      </c>
      <c r="BL338" s="24"/>
      <c r="BW338" s="24">
        <v>21</v>
      </c>
      <c r="BX338" s="4" t="s">
        <v>962</v>
      </c>
    </row>
    <row r="339" spans="1:76" ht="14.4" x14ac:dyDescent="0.3">
      <c r="A339" s="2" t="s">
        <v>963</v>
      </c>
      <c r="B339" s="3" t="s">
        <v>943</v>
      </c>
      <c r="C339" s="82" t="s">
        <v>853</v>
      </c>
      <c r="D339" s="81"/>
      <c r="E339" s="3" t="s">
        <v>174</v>
      </c>
      <c r="F339" s="24">
        <v>340</v>
      </c>
      <c r="G339" s="180">
        <v>0</v>
      </c>
      <c r="H339" s="24">
        <f t="shared" si="466"/>
        <v>0</v>
      </c>
      <c r="I339" s="24">
        <f t="shared" si="467"/>
        <v>0</v>
      </c>
      <c r="J339" s="24">
        <f t="shared" si="468"/>
        <v>0</v>
      </c>
      <c r="K339" s="25"/>
      <c r="Z339" s="24">
        <f t="shared" si="469"/>
        <v>0</v>
      </c>
      <c r="AB339" s="24">
        <f t="shared" si="470"/>
        <v>0</v>
      </c>
      <c r="AC339" s="24">
        <f t="shared" si="471"/>
        <v>0</v>
      </c>
      <c r="AD339" s="24">
        <f t="shared" si="472"/>
        <v>0</v>
      </c>
      <c r="AE339" s="24">
        <f t="shared" si="473"/>
        <v>0</v>
      </c>
      <c r="AF339" s="24">
        <f t="shared" si="474"/>
        <v>0</v>
      </c>
      <c r="AG339" s="24">
        <f t="shared" si="475"/>
        <v>0</v>
      </c>
      <c r="AH339" s="24">
        <f t="shared" si="476"/>
        <v>0</v>
      </c>
      <c r="AI339" s="10" t="s">
        <v>43</v>
      </c>
      <c r="AJ339" s="24">
        <f t="shared" si="477"/>
        <v>0</v>
      </c>
      <c r="AK339" s="24">
        <f t="shared" si="478"/>
        <v>0</v>
      </c>
      <c r="AL339" s="24">
        <f t="shared" si="479"/>
        <v>0</v>
      </c>
      <c r="AN339" s="24">
        <v>21</v>
      </c>
      <c r="AO339" s="24">
        <f t="shared" si="480"/>
        <v>0</v>
      </c>
      <c r="AP339" s="24">
        <f t="shared" si="481"/>
        <v>0</v>
      </c>
      <c r="AQ339" s="26" t="s">
        <v>46</v>
      </c>
      <c r="AV339" s="24">
        <f t="shared" si="482"/>
        <v>0</v>
      </c>
      <c r="AW339" s="24">
        <f t="shared" si="483"/>
        <v>0</v>
      </c>
      <c r="AX339" s="24">
        <f t="shared" si="484"/>
        <v>0</v>
      </c>
      <c r="AY339" s="26" t="s">
        <v>945</v>
      </c>
      <c r="AZ339" s="26" t="s">
        <v>427</v>
      </c>
      <c r="BA339" s="10" t="s">
        <v>52</v>
      </c>
      <c r="BC339" s="24">
        <f t="shared" si="485"/>
        <v>0</v>
      </c>
      <c r="BD339" s="24">
        <f t="shared" si="486"/>
        <v>0</v>
      </c>
      <c r="BE339" s="24">
        <v>0</v>
      </c>
      <c r="BF339" s="24">
        <f>336</f>
        <v>336</v>
      </c>
      <c r="BH339" s="24">
        <f t="shared" si="487"/>
        <v>0</v>
      </c>
      <c r="BI339" s="24">
        <f t="shared" si="488"/>
        <v>0</v>
      </c>
      <c r="BJ339" s="24">
        <f t="shared" si="489"/>
        <v>0</v>
      </c>
      <c r="BK339" s="26" t="s">
        <v>53</v>
      </c>
      <c r="BL339" s="24"/>
      <c r="BW339" s="24">
        <v>21</v>
      </c>
      <c r="BX339" s="4" t="s">
        <v>853</v>
      </c>
    </row>
    <row r="340" spans="1:76" ht="14.4" x14ac:dyDescent="0.3">
      <c r="A340" s="2" t="s">
        <v>964</v>
      </c>
      <c r="B340" s="3" t="s">
        <v>943</v>
      </c>
      <c r="C340" s="82" t="s">
        <v>965</v>
      </c>
      <c r="D340" s="81"/>
      <c r="E340" s="3" t="s">
        <v>174</v>
      </c>
      <c r="F340" s="24">
        <v>12</v>
      </c>
      <c r="G340" s="180">
        <v>0</v>
      </c>
      <c r="H340" s="24">
        <f t="shared" si="466"/>
        <v>0</v>
      </c>
      <c r="I340" s="24">
        <f t="shared" si="467"/>
        <v>0</v>
      </c>
      <c r="J340" s="24">
        <f t="shared" si="468"/>
        <v>0</v>
      </c>
      <c r="K340" s="25"/>
      <c r="Z340" s="24">
        <f t="shared" si="469"/>
        <v>0</v>
      </c>
      <c r="AB340" s="24">
        <f t="shared" si="470"/>
        <v>0</v>
      </c>
      <c r="AC340" s="24">
        <f t="shared" si="471"/>
        <v>0</v>
      </c>
      <c r="AD340" s="24">
        <f t="shared" si="472"/>
        <v>0</v>
      </c>
      <c r="AE340" s="24">
        <f t="shared" si="473"/>
        <v>0</v>
      </c>
      <c r="AF340" s="24">
        <f t="shared" si="474"/>
        <v>0</v>
      </c>
      <c r="AG340" s="24">
        <f t="shared" si="475"/>
        <v>0</v>
      </c>
      <c r="AH340" s="24">
        <f t="shared" si="476"/>
        <v>0</v>
      </c>
      <c r="AI340" s="10" t="s">
        <v>43</v>
      </c>
      <c r="AJ340" s="24">
        <f t="shared" si="477"/>
        <v>0</v>
      </c>
      <c r="AK340" s="24">
        <f t="shared" si="478"/>
        <v>0</v>
      </c>
      <c r="AL340" s="24">
        <f t="shared" si="479"/>
        <v>0</v>
      </c>
      <c r="AN340" s="24">
        <v>21</v>
      </c>
      <c r="AO340" s="24">
        <f t="shared" si="480"/>
        <v>0</v>
      </c>
      <c r="AP340" s="24">
        <f t="shared" si="481"/>
        <v>0</v>
      </c>
      <c r="AQ340" s="26" t="s">
        <v>46</v>
      </c>
      <c r="AV340" s="24">
        <f t="shared" si="482"/>
        <v>0</v>
      </c>
      <c r="AW340" s="24">
        <f t="shared" si="483"/>
        <v>0</v>
      </c>
      <c r="AX340" s="24">
        <f t="shared" si="484"/>
        <v>0</v>
      </c>
      <c r="AY340" s="26" t="s">
        <v>945</v>
      </c>
      <c r="AZ340" s="26" t="s">
        <v>427</v>
      </c>
      <c r="BA340" s="10" t="s">
        <v>52</v>
      </c>
      <c r="BC340" s="24">
        <f t="shared" si="485"/>
        <v>0</v>
      </c>
      <c r="BD340" s="24">
        <f t="shared" si="486"/>
        <v>0</v>
      </c>
      <c r="BE340" s="24">
        <v>0</v>
      </c>
      <c r="BF340" s="24">
        <f>337</f>
        <v>337</v>
      </c>
      <c r="BH340" s="24">
        <f t="shared" si="487"/>
        <v>0</v>
      </c>
      <c r="BI340" s="24">
        <f t="shared" si="488"/>
        <v>0</v>
      </c>
      <c r="BJ340" s="24">
        <f t="shared" si="489"/>
        <v>0</v>
      </c>
      <c r="BK340" s="26" t="s">
        <v>53</v>
      </c>
      <c r="BL340" s="24"/>
      <c r="BW340" s="24">
        <v>21</v>
      </c>
      <c r="BX340" s="4" t="s">
        <v>965</v>
      </c>
    </row>
    <row r="341" spans="1:76" ht="14.4" x14ac:dyDescent="0.3">
      <c r="A341" s="2" t="s">
        <v>966</v>
      </c>
      <c r="B341" s="3" t="s">
        <v>943</v>
      </c>
      <c r="C341" s="82" t="s">
        <v>967</v>
      </c>
      <c r="D341" s="81"/>
      <c r="E341" s="3" t="s">
        <v>174</v>
      </c>
      <c r="F341" s="24">
        <v>12</v>
      </c>
      <c r="G341" s="180">
        <v>0</v>
      </c>
      <c r="H341" s="24">
        <f t="shared" si="466"/>
        <v>0</v>
      </c>
      <c r="I341" s="24">
        <f t="shared" si="467"/>
        <v>0</v>
      </c>
      <c r="J341" s="24">
        <f t="shared" si="468"/>
        <v>0</v>
      </c>
      <c r="K341" s="25"/>
      <c r="Z341" s="24">
        <f t="shared" si="469"/>
        <v>0</v>
      </c>
      <c r="AB341" s="24">
        <f t="shared" si="470"/>
        <v>0</v>
      </c>
      <c r="AC341" s="24">
        <f t="shared" si="471"/>
        <v>0</v>
      </c>
      <c r="AD341" s="24">
        <f t="shared" si="472"/>
        <v>0</v>
      </c>
      <c r="AE341" s="24">
        <f t="shared" si="473"/>
        <v>0</v>
      </c>
      <c r="AF341" s="24">
        <f t="shared" si="474"/>
        <v>0</v>
      </c>
      <c r="AG341" s="24">
        <f t="shared" si="475"/>
        <v>0</v>
      </c>
      <c r="AH341" s="24">
        <f t="shared" si="476"/>
        <v>0</v>
      </c>
      <c r="AI341" s="10" t="s">
        <v>43</v>
      </c>
      <c r="AJ341" s="24">
        <f t="shared" si="477"/>
        <v>0</v>
      </c>
      <c r="AK341" s="24">
        <f t="shared" si="478"/>
        <v>0</v>
      </c>
      <c r="AL341" s="24">
        <f t="shared" si="479"/>
        <v>0</v>
      </c>
      <c r="AN341" s="24">
        <v>21</v>
      </c>
      <c r="AO341" s="24">
        <f t="shared" si="480"/>
        <v>0</v>
      </c>
      <c r="AP341" s="24">
        <f t="shared" si="481"/>
        <v>0</v>
      </c>
      <c r="AQ341" s="26" t="s">
        <v>46</v>
      </c>
      <c r="AV341" s="24">
        <f t="shared" si="482"/>
        <v>0</v>
      </c>
      <c r="AW341" s="24">
        <f t="shared" si="483"/>
        <v>0</v>
      </c>
      <c r="AX341" s="24">
        <f t="shared" si="484"/>
        <v>0</v>
      </c>
      <c r="AY341" s="26" t="s">
        <v>945</v>
      </c>
      <c r="AZ341" s="26" t="s">
        <v>427</v>
      </c>
      <c r="BA341" s="10" t="s">
        <v>52</v>
      </c>
      <c r="BC341" s="24">
        <f t="shared" si="485"/>
        <v>0</v>
      </c>
      <c r="BD341" s="24">
        <f t="shared" si="486"/>
        <v>0</v>
      </c>
      <c r="BE341" s="24">
        <v>0</v>
      </c>
      <c r="BF341" s="24">
        <f>338</f>
        <v>338</v>
      </c>
      <c r="BH341" s="24">
        <f t="shared" si="487"/>
        <v>0</v>
      </c>
      <c r="BI341" s="24">
        <f t="shared" si="488"/>
        <v>0</v>
      </c>
      <c r="BJ341" s="24">
        <f t="shared" si="489"/>
        <v>0</v>
      </c>
      <c r="BK341" s="26" t="s">
        <v>53</v>
      </c>
      <c r="BL341" s="24"/>
      <c r="BW341" s="24">
        <v>21</v>
      </c>
      <c r="BX341" s="4" t="s">
        <v>967</v>
      </c>
    </row>
    <row r="342" spans="1:76" ht="14.4" x14ac:dyDescent="0.3">
      <c r="A342" s="2" t="s">
        <v>968</v>
      </c>
      <c r="B342" s="3" t="s">
        <v>943</v>
      </c>
      <c r="C342" s="82" t="s">
        <v>857</v>
      </c>
      <c r="D342" s="81"/>
      <c r="E342" s="3" t="s">
        <v>174</v>
      </c>
      <c r="F342" s="24">
        <v>6</v>
      </c>
      <c r="G342" s="180">
        <v>0</v>
      </c>
      <c r="H342" s="24">
        <f t="shared" si="466"/>
        <v>0</v>
      </c>
      <c r="I342" s="24">
        <f t="shared" si="467"/>
        <v>0</v>
      </c>
      <c r="J342" s="24">
        <f t="shared" si="468"/>
        <v>0</v>
      </c>
      <c r="K342" s="25"/>
      <c r="Z342" s="24">
        <f t="shared" si="469"/>
        <v>0</v>
      </c>
      <c r="AB342" s="24">
        <f t="shared" si="470"/>
        <v>0</v>
      </c>
      <c r="AC342" s="24">
        <f t="shared" si="471"/>
        <v>0</v>
      </c>
      <c r="AD342" s="24">
        <f t="shared" si="472"/>
        <v>0</v>
      </c>
      <c r="AE342" s="24">
        <f t="shared" si="473"/>
        <v>0</v>
      </c>
      <c r="AF342" s="24">
        <f t="shared" si="474"/>
        <v>0</v>
      </c>
      <c r="AG342" s="24">
        <f t="shared" si="475"/>
        <v>0</v>
      </c>
      <c r="AH342" s="24">
        <f t="shared" si="476"/>
        <v>0</v>
      </c>
      <c r="AI342" s="10" t="s">
        <v>43</v>
      </c>
      <c r="AJ342" s="24">
        <f t="shared" si="477"/>
        <v>0</v>
      </c>
      <c r="AK342" s="24">
        <f t="shared" si="478"/>
        <v>0</v>
      </c>
      <c r="AL342" s="24">
        <f t="shared" si="479"/>
        <v>0</v>
      </c>
      <c r="AN342" s="24">
        <v>21</v>
      </c>
      <c r="AO342" s="24">
        <f t="shared" si="480"/>
        <v>0</v>
      </c>
      <c r="AP342" s="24">
        <f t="shared" si="481"/>
        <v>0</v>
      </c>
      <c r="AQ342" s="26" t="s">
        <v>46</v>
      </c>
      <c r="AV342" s="24">
        <f t="shared" si="482"/>
        <v>0</v>
      </c>
      <c r="AW342" s="24">
        <f t="shared" si="483"/>
        <v>0</v>
      </c>
      <c r="AX342" s="24">
        <f t="shared" si="484"/>
        <v>0</v>
      </c>
      <c r="AY342" s="26" t="s">
        <v>945</v>
      </c>
      <c r="AZ342" s="26" t="s">
        <v>427</v>
      </c>
      <c r="BA342" s="10" t="s">
        <v>52</v>
      </c>
      <c r="BC342" s="24">
        <f t="shared" si="485"/>
        <v>0</v>
      </c>
      <c r="BD342" s="24">
        <f t="shared" si="486"/>
        <v>0</v>
      </c>
      <c r="BE342" s="24">
        <v>0</v>
      </c>
      <c r="BF342" s="24">
        <f>339</f>
        <v>339</v>
      </c>
      <c r="BH342" s="24">
        <f t="shared" si="487"/>
        <v>0</v>
      </c>
      <c r="BI342" s="24">
        <f t="shared" si="488"/>
        <v>0</v>
      </c>
      <c r="BJ342" s="24">
        <f t="shared" si="489"/>
        <v>0</v>
      </c>
      <c r="BK342" s="26" t="s">
        <v>53</v>
      </c>
      <c r="BL342" s="24"/>
      <c r="BW342" s="24">
        <v>21</v>
      </c>
      <c r="BX342" s="4" t="s">
        <v>857</v>
      </c>
    </row>
    <row r="343" spans="1:76" ht="14.4" x14ac:dyDescent="0.3">
      <c r="A343" s="2" t="s">
        <v>969</v>
      </c>
      <c r="B343" s="3" t="s">
        <v>943</v>
      </c>
      <c r="C343" s="82" t="s">
        <v>970</v>
      </c>
      <c r="D343" s="81"/>
      <c r="E343" s="3" t="s">
        <v>174</v>
      </c>
      <c r="F343" s="24">
        <v>70</v>
      </c>
      <c r="G343" s="180">
        <v>0</v>
      </c>
      <c r="H343" s="24">
        <f t="shared" si="466"/>
        <v>0</v>
      </c>
      <c r="I343" s="24">
        <f t="shared" si="467"/>
        <v>0</v>
      </c>
      <c r="J343" s="24">
        <f t="shared" si="468"/>
        <v>0</v>
      </c>
      <c r="K343" s="25"/>
      <c r="Z343" s="24">
        <f t="shared" si="469"/>
        <v>0</v>
      </c>
      <c r="AB343" s="24">
        <f t="shared" si="470"/>
        <v>0</v>
      </c>
      <c r="AC343" s="24">
        <f t="shared" si="471"/>
        <v>0</v>
      </c>
      <c r="AD343" s="24">
        <f t="shared" si="472"/>
        <v>0</v>
      </c>
      <c r="AE343" s="24">
        <f t="shared" si="473"/>
        <v>0</v>
      </c>
      <c r="AF343" s="24">
        <f t="shared" si="474"/>
        <v>0</v>
      </c>
      <c r="AG343" s="24">
        <f t="shared" si="475"/>
        <v>0</v>
      </c>
      <c r="AH343" s="24">
        <f t="shared" si="476"/>
        <v>0</v>
      </c>
      <c r="AI343" s="10" t="s">
        <v>43</v>
      </c>
      <c r="AJ343" s="24">
        <f t="shared" si="477"/>
        <v>0</v>
      </c>
      <c r="AK343" s="24">
        <f t="shared" si="478"/>
        <v>0</v>
      </c>
      <c r="AL343" s="24">
        <f t="shared" si="479"/>
        <v>0</v>
      </c>
      <c r="AN343" s="24">
        <v>21</v>
      </c>
      <c r="AO343" s="24">
        <f t="shared" si="480"/>
        <v>0</v>
      </c>
      <c r="AP343" s="24">
        <f t="shared" si="481"/>
        <v>0</v>
      </c>
      <c r="AQ343" s="26" t="s">
        <v>46</v>
      </c>
      <c r="AV343" s="24">
        <f t="shared" si="482"/>
        <v>0</v>
      </c>
      <c r="AW343" s="24">
        <f t="shared" si="483"/>
        <v>0</v>
      </c>
      <c r="AX343" s="24">
        <f t="shared" si="484"/>
        <v>0</v>
      </c>
      <c r="AY343" s="26" t="s">
        <v>945</v>
      </c>
      <c r="AZ343" s="26" t="s">
        <v>427</v>
      </c>
      <c r="BA343" s="10" t="s">
        <v>52</v>
      </c>
      <c r="BC343" s="24">
        <f t="shared" si="485"/>
        <v>0</v>
      </c>
      <c r="BD343" s="24">
        <f t="shared" si="486"/>
        <v>0</v>
      </c>
      <c r="BE343" s="24">
        <v>0</v>
      </c>
      <c r="BF343" s="24">
        <f>340</f>
        <v>340</v>
      </c>
      <c r="BH343" s="24">
        <f t="shared" si="487"/>
        <v>0</v>
      </c>
      <c r="BI343" s="24">
        <f t="shared" si="488"/>
        <v>0</v>
      </c>
      <c r="BJ343" s="24">
        <f t="shared" si="489"/>
        <v>0</v>
      </c>
      <c r="BK343" s="26" t="s">
        <v>53</v>
      </c>
      <c r="BL343" s="24"/>
      <c r="BW343" s="24">
        <v>21</v>
      </c>
      <c r="BX343" s="4" t="s">
        <v>970</v>
      </c>
    </row>
    <row r="344" spans="1:76" ht="14.4" x14ac:dyDescent="0.3">
      <c r="A344" s="2" t="s">
        <v>971</v>
      </c>
      <c r="B344" s="3" t="s">
        <v>943</v>
      </c>
      <c r="C344" s="82" t="s">
        <v>972</v>
      </c>
      <c r="D344" s="81"/>
      <c r="E344" s="3" t="s">
        <v>174</v>
      </c>
      <c r="F344" s="24">
        <v>1</v>
      </c>
      <c r="G344" s="180">
        <v>0</v>
      </c>
      <c r="H344" s="24">
        <f t="shared" si="466"/>
        <v>0</v>
      </c>
      <c r="I344" s="24">
        <f t="shared" si="467"/>
        <v>0</v>
      </c>
      <c r="J344" s="24">
        <f t="shared" si="468"/>
        <v>0</v>
      </c>
      <c r="K344" s="25"/>
      <c r="Z344" s="24">
        <f t="shared" si="469"/>
        <v>0</v>
      </c>
      <c r="AB344" s="24">
        <f t="shared" si="470"/>
        <v>0</v>
      </c>
      <c r="AC344" s="24">
        <f t="shared" si="471"/>
        <v>0</v>
      </c>
      <c r="AD344" s="24">
        <f t="shared" si="472"/>
        <v>0</v>
      </c>
      <c r="AE344" s="24">
        <f t="shared" si="473"/>
        <v>0</v>
      </c>
      <c r="AF344" s="24">
        <f t="shared" si="474"/>
        <v>0</v>
      </c>
      <c r="AG344" s="24">
        <f t="shared" si="475"/>
        <v>0</v>
      </c>
      <c r="AH344" s="24">
        <f t="shared" si="476"/>
        <v>0</v>
      </c>
      <c r="AI344" s="10" t="s">
        <v>43</v>
      </c>
      <c r="AJ344" s="24">
        <f t="shared" si="477"/>
        <v>0</v>
      </c>
      <c r="AK344" s="24">
        <f t="shared" si="478"/>
        <v>0</v>
      </c>
      <c r="AL344" s="24">
        <f t="shared" si="479"/>
        <v>0</v>
      </c>
      <c r="AN344" s="24">
        <v>21</v>
      </c>
      <c r="AO344" s="24">
        <f t="shared" si="480"/>
        <v>0</v>
      </c>
      <c r="AP344" s="24">
        <f t="shared" si="481"/>
        <v>0</v>
      </c>
      <c r="AQ344" s="26" t="s">
        <v>46</v>
      </c>
      <c r="AV344" s="24">
        <f t="shared" si="482"/>
        <v>0</v>
      </c>
      <c r="AW344" s="24">
        <f t="shared" si="483"/>
        <v>0</v>
      </c>
      <c r="AX344" s="24">
        <f t="shared" si="484"/>
        <v>0</v>
      </c>
      <c r="AY344" s="26" t="s">
        <v>945</v>
      </c>
      <c r="AZ344" s="26" t="s">
        <v>427</v>
      </c>
      <c r="BA344" s="10" t="s">
        <v>52</v>
      </c>
      <c r="BC344" s="24">
        <f t="shared" si="485"/>
        <v>0</v>
      </c>
      <c r="BD344" s="24">
        <f t="shared" si="486"/>
        <v>0</v>
      </c>
      <c r="BE344" s="24">
        <v>0</v>
      </c>
      <c r="BF344" s="24">
        <f>341</f>
        <v>341</v>
      </c>
      <c r="BH344" s="24">
        <f t="shared" si="487"/>
        <v>0</v>
      </c>
      <c r="BI344" s="24">
        <f t="shared" si="488"/>
        <v>0</v>
      </c>
      <c r="BJ344" s="24">
        <f t="shared" si="489"/>
        <v>0</v>
      </c>
      <c r="BK344" s="26" t="s">
        <v>53</v>
      </c>
      <c r="BL344" s="24"/>
      <c r="BW344" s="24">
        <v>21</v>
      </c>
      <c r="BX344" s="4" t="s">
        <v>972</v>
      </c>
    </row>
    <row r="345" spans="1:76" ht="14.4" x14ac:dyDescent="0.3">
      <c r="A345" s="2" t="s">
        <v>973</v>
      </c>
      <c r="B345" s="3" t="s">
        <v>943</v>
      </c>
      <c r="C345" s="82" t="s">
        <v>974</v>
      </c>
      <c r="D345" s="81"/>
      <c r="E345" s="3" t="s">
        <v>321</v>
      </c>
      <c r="F345" s="24">
        <v>2</v>
      </c>
      <c r="G345" s="180">
        <v>0</v>
      </c>
      <c r="H345" s="24">
        <f t="shared" si="466"/>
        <v>0</v>
      </c>
      <c r="I345" s="24">
        <f t="shared" si="467"/>
        <v>0</v>
      </c>
      <c r="J345" s="24">
        <f t="shared" si="468"/>
        <v>0</v>
      </c>
      <c r="K345" s="25"/>
      <c r="Z345" s="24">
        <f t="shared" si="469"/>
        <v>0</v>
      </c>
      <c r="AB345" s="24">
        <f t="shared" si="470"/>
        <v>0</v>
      </c>
      <c r="AC345" s="24">
        <f t="shared" si="471"/>
        <v>0</v>
      </c>
      <c r="AD345" s="24">
        <f t="shared" si="472"/>
        <v>0</v>
      </c>
      <c r="AE345" s="24">
        <f t="shared" si="473"/>
        <v>0</v>
      </c>
      <c r="AF345" s="24">
        <f t="shared" si="474"/>
        <v>0</v>
      </c>
      <c r="AG345" s="24">
        <f t="shared" si="475"/>
        <v>0</v>
      </c>
      <c r="AH345" s="24">
        <f t="shared" si="476"/>
        <v>0</v>
      </c>
      <c r="AI345" s="10" t="s">
        <v>43</v>
      </c>
      <c r="AJ345" s="24">
        <f t="shared" si="477"/>
        <v>0</v>
      </c>
      <c r="AK345" s="24">
        <f t="shared" si="478"/>
        <v>0</v>
      </c>
      <c r="AL345" s="24">
        <f t="shared" si="479"/>
        <v>0</v>
      </c>
      <c r="AN345" s="24">
        <v>21</v>
      </c>
      <c r="AO345" s="24">
        <f t="shared" si="480"/>
        <v>0</v>
      </c>
      <c r="AP345" s="24">
        <f t="shared" si="481"/>
        <v>0</v>
      </c>
      <c r="AQ345" s="26" t="s">
        <v>46</v>
      </c>
      <c r="AV345" s="24">
        <f t="shared" si="482"/>
        <v>0</v>
      </c>
      <c r="AW345" s="24">
        <f t="shared" si="483"/>
        <v>0</v>
      </c>
      <c r="AX345" s="24">
        <f t="shared" si="484"/>
        <v>0</v>
      </c>
      <c r="AY345" s="26" t="s">
        <v>945</v>
      </c>
      <c r="AZ345" s="26" t="s">
        <v>427</v>
      </c>
      <c r="BA345" s="10" t="s">
        <v>52</v>
      </c>
      <c r="BC345" s="24">
        <f t="shared" si="485"/>
        <v>0</v>
      </c>
      <c r="BD345" s="24">
        <f t="shared" si="486"/>
        <v>0</v>
      </c>
      <c r="BE345" s="24">
        <v>0</v>
      </c>
      <c r="BF345" s="24">
        <f>342</f>
        <v>342</v>
      </c>
      <c r="BH345" s="24">
        <f t="shared" si="487"/>
        <v>0</v>
      </c>
      <c r="BI345" s="24">
        <f t="shared" si="488"/>
        <v>0</v>
      </c>
      <c r="BJ345" s="24">
        <f t="shared" si="489"/>
        <v>0</v>
      </c>
      <c r="BK345" s="26" t="s">
        <v>53</v>
      </c>
      <c r="BL345" s="24"/>
      <c r="BW345" s="24">
        <v>21</v>
      </c>
      <c r="BX345" s="4" t="s">
        <v>974</v>
      </c>
    </row>
    <row r="346" spans="1:76" ht="14.4" x14ac:dyDescent="0.3">
      <c r="A346" s="2" t="s">
        <v>975</v>
      </c>
      <c r="B346" s="3" t="s">
        <v>943</v>
      </c>
      <c r="C346" s="82" t="s">
        <v>976</v>
      </c>
      <c r="D346" s="81"/>
      <c r="E346" s="3" t="s">
        <v>174</v>
      </c>
      <c r="F346" s="24">
        <v>6</v>
      </c>
      <c r="G346" s="180">
        <v>0</v>
      </c>
      <c r="H346" s="24">
        <f t="shared" si="466"/>
        <v>0</v>
      </c>
      <c r="I346" s="24">
        <f t="shared" si="467"/>
        <v>0</v>
      </c>
      <c r="J346" s="24">
        <f t="shared" si="468"/>
        <v>0</v>
      </c>
      <c r="K346" s="25"/>
      <c r="Z346" s="24">
        <f t="shared" si="469"/>
        <v>0</v>
      </c>
      <c r="AB346" s="24">
        <f t="shared" si="470"/>
        <v>0</v>
      </c>
      <c r="AC346" s="24">
        <f t="shared" si="471"/>
        <v>0</v>
      </c>
      <c r="AD346" s="24">
        <f t="shared" si="472"/>
        <v>0</v>
      </c>
      <c r="AE346" s="24">
        <f t="shared" si="473"/>
        <v>0</v>
      </c>
      <c r="AF346" s="24">
        <f t="shared" si="474"/>
        <v>0</v>
      </c>
      <c r="AG346" s="24">
        <f t="shared" si="475"/>
        <v>0</v>
      </c>
      <c r="AH346" s="24">
        <f t="shared" si="476"/>
        <v>0</v>
      </c>
      <c r="AI346" s="10" t="s">
        <v>43</v>
      </c>
      <c r="AJ346" s="24">
        <f t="shared" si="477"/>
        <v>0</v>
      </c>
      <c r="AK346" s="24">
        <f t="shared" si="478"/>
        <v>0</v>
      </c>
      <c r="AL346" s="24">
        <f t="shared" si="479"/>
        <v>0</v>
      </c>
      <c r="AN346" s="24">
        <v>21</v>
      </c>
      <c r="AO346" s="24">
        <f t="shared" si="480"/>
        <v>0</v>
      </c>
      <c r="AP346" s="24">
        <f t="shared" si="481"/>
        <v>0</v>
      </c>
      <c r="AQ346" s="26" t="s">
        <v>46</v>
      </c>
      <c r="AV346" s="24">
        <f t="shared" si="482"/>
        <v>0</v>
      </c>
      <c r="AW346" s="24">
        <f t="shared" si="483"/>
        <v>0</v>
      </c>
      <c r="AX346" s="24">
        <f t="shared" si="484"/>
        <v>0</v>
      </c>
      <c r="AY346" s="26" t="s">
        <v>945</v>
      </c>
      <c r="AZ346" s="26" t="s">
        <v>427</v>
      </c>
      <c r="BA346" s="10" t="s">
        <v>52</v>
      </c>
      <c r="BC346" s="24">
        <f t="shared" si="485"/>
        <v>0</v>
      </c>
      <c r="BD346" s="24">
        <f t="shared" si="486"/>
        <v>0</v>
      </c>
      <c r="BE346" s="24">
        <v>0</v>
      </c>
      <c r="BF346" s="24">
        <f>343</f>
        <v>343</v>
      </c>
      <c r="BH346" s="24">
        <f t="shared" si="487"/>
        <v>0</v>
      </c>
      <c r="BI346" s="24">
        <f t="shared" si="488"/>
        <v>0</v>
      </c>
      <c r="BJ346" s="24">
        <f t="shared" si="489"/>
        <v>0</v>
      </c>
      <c r="BK346" s="26" t="s">
        <v>53</v>
      </c>
      <c r="BL346" s="24"/>
      <c r="BW346" s="24">
        <v>21</v>
      </c>
      <c r="BX346" s="4" t="s">
        <v>976</v>
      </c>
    </row>
    <row r="347" spans="1:76" ht="14.4" x14ac:dyDescent="0.3">
      <c r="A347" s="2" t="s">
        <v>977</v>
      </c>
      <c r="B347" s="3" t="s">
        <v>943</v>
      </c>
      <c r="C347" s="82" t="s">
        <v>978</v>
      </c>
      <c r="D347" s="81"/>
      <c r="E347" s="3" t="s">
        <v>321</v>
      </c>
      <c r="F347" s="24">
        <v>90</v>
      </c>
      <c r="G347" s="180">
        <v>0</v>
      </c>
      <c r="H347" s="24">
        <f t="shared" si="466"/>
        <v>0</v>
      </c>
      <c r="I347" s="24">
        <f t="shared" si="467"/>
        <v>0</v>
      </c>
      <c r="J347" s="24">
        <f t="shared" si="468"/>
        <v>0</v>
      </c>
      <c r="K347" s="25"/>
      <c r="Z347" s="24">
        <f t="shared" si="469"/>
        <v>0</v>
      </c>
      <c r="AB347" s="24">
        <f t="shared" si="470"/>
        <v>0</v>
      </c>
      <c r="AC347" s="24">
        <f t="shared" si="471"/>
        <v>0</v>
      </c>
      <c r="AD347" s="24">
        <f t="shared" si="472"/>
        <v>0</v>
      </c>
      <c r="AE347" s="24">
        <f t="shared" si="473"/>
        <v>0</v>
      </c>
      <c r="AF347" s="24">
        <f t="shared" si="474"/>
        <v>0</v>
      </c>
      <c r="AG347" s="24">
        <f t="shared" si="475"/>
        <v>0</v>
      </c>
      <c r="AH347" s="24">
        <f t="shared" si="476"/>
        <v>0</v>
      </c>
      <c r="AI347" s="10" t="s">
        <v>43</v>
      </c>
      <c r="AJ347" s="24">
        <f t="shared" si="477"/>
        <v>0</v>
      </c>
      <c r="AK347" s="24">
        <f t="shared" si="478"/>
        <v>0</v>
      </c>
      <c r="AL347" s="24">
        <f t="shared" si="479"/>
        <v>0</v>
      </c>
      <c r="AN347" s="24">
        <v>21</v>
      </c>
      <c r="AO347" s="24">
        <f t="shared" si="480"/>
        <v>0</v>
      </c>
      <c r="AP347" s="24">
        <f t="shared" si="481"/>
        <v>0</v>
      </c>
      <c r="AQ347" s="26" t="s">
        <v>46</v>
      </c>
      <c r="AV347" s="24">
        <f t="shared" si="482"/>
        <v>0</v>
      </c>
      <c r="AW347" s="24">
        <f t="shared" si="483"/>
        <v>0</v>
      </c>
      <c r="AX347" s="24">
        <f t="shared" si="484"/>
        <v>0</v>
      </c>
      <c r="AY347" s="26" t="s">
        <v>945</v>
      </c>
      <c r="AZ347" s="26" t="s">
        <v>427</v>
      </c>
      <c r="BA347" s="10" t="s">
        <v>52</v>
      </c>
      <c r="BC347" s="24">
        <f t="shared" si="485"/>
        <v>0</v>
      </c>
      <c r="BD347" s="24">
        <f t="shared" si="486"/>
        <v>0</v>
      </c>
      <c r="BE347" s="24">
        <v>0</v>
      </c>
      <c r="BF347" s="24">
        <f>344</f>
        <v>344</v>
      </c>
      <c r="BH347" s="24">
        <f t="shared" si="487"/>
        <v>0</v>
      </c>
      <c r="BI347" s="24">
        <f t="shared" si="488"/>
        <v>0</v>
      </c>
      <c r="BJ347" s="24">
        <f t="shared" si="489"/>
        <v>0</v>
      </c>
      <c r="BK347" s="26" t="s">
        <v>53</v>
      </c>
      <c r="BL347" s="24"/>
      <c r="BW347" s="24">
        <v>21</v>
      </c>
      <c r="BX347" s="4" t="s">
        <v>978</v>
      </c>
    </row>
    <row r="348" spans="1:76" ht="14.4" x14ac:dyDescent="0.3">
      <c r="A348" s="2" t="s">
        <v>979</v>
      </c>
      <c r="B348" s="3" t="s">
        <v>943</v>
      </c>
      <c r="C348" s="82" t="s">
        <v>980</v>
      </c>
      <c r="D348" s="81"/>
      <c r="E348" s="3" t="s">
        <v>174</v>
      </c>
      <c r="F348" s="24">
        <v>300</v>
      </c>
      <c r="G348" s="180">
        <v>0</v>
      </c>
      <c r="H348" s="24">
        <f t="shared" si="466"/>
        <v>0</v>
      </c>
      <c r="I348" s="24">
        <f t="shared" si="467"/>
        <v>0</v>
      </c>
      <c r="J348" s="24">
        <f t="shared" si="468"/>
        <v>0</v>
      </c>
      <c r="K348" s="25"/>
      <c r="Z348" s="24">
        <f t="shared" si="469"/>
        <v>0</v>
      </c>
      <c r="AB348" s="24">
        <f t="shared" si="470"/>
        <v>0</v>
      </c>
      <c r="AC348" s="24">
        <f t="shared" si="471"/>
        <v>0</v>
      </c>
      <c r="AD348" s="24">
        <f t="shared" si="472"/>
        <v>0</v>
      </c>
      <c r="AE348" s="24">
        <f t="shared" si="473"/>
        <v>0</v>
      </c>
      <c r="AF348" s="24">
        <f t="shared" si="474"/>
        <v>0</v>
      </c>
      <c r="AG348" s="24">
        <f t="shared" si="475"/>
        <v>0</v>
      </c>
      <c r="AH348" s="24">
        <f t="shared" si="476"/>
        <v>0</v>
      </c>
      <c r="AI348" s="10" t="s">
        <v>43</v>
      </c>
      <c r="AJ348" s="24">
        <f t="shared" si="477"/>
        <v>0</v>
      </c>
      <c r="AK348" s="24">
        <f t="shared" si="478"/>
        <v>0</v>
      </c>
      <c r="AL348" s="24">
        <f t="shared" si="479"/>
        <v>0</v>
      </c>
      <c r="AN348" s="24">
        <v>21</v>
      </c>
      <c r="AO348" s="24">
        <f t="shared" si="480"/>
        <v>0</v>
      </c>
      <c r="AP348" s="24">
        <f t="shared" si="481"/>
        <v>0</v>
      </c>
      <c r="AQ348" s="26" t="s">
        <v>46</v>
      </c>
      <c r="AV348" s="24">
        <f t="shared" si="482"/>
        <v>0</v>
      </c>
      <c r="AW348" s="24">
        <f t="shared" si="483"/>
        <v>0</v>
      </c>
      <c r="AX348" s="24">
        <f t="shared" si="484"/>
        <v>0</v>
      </c>
      <c r="AY348" s="26" t="s">
        <v>945</v>
      </c>
      <c r="AZ348" s="26" t="s">
        <v>427</v>
      </c>
      <c r="BA348" s="10" t="s">
        <v>52</v>
      </c>
      <c r="BC348" s="24">
        <f t="shared" si="485"/>
        <v>0</v>
      </c>
      <c r="BD348" s="24">
        <f t="shared" si="486"/>
        <v>0</v>
      </c>
      <c r="BE348" s="24">
        <v>0</v>
      </c>
      <c r="BF348" s="24">
        <f>345</f>
        <v>345</v>
      </c>
      <c r="BH348" s="24">
        <f t="shared" si="487"/>
        <v>0</v>
      </c>
      <c r="BI348" s="24">
        <f t="shared" si="488"/>
        <v>0</v>
      </c>
      <c r="BJ348" s="24">
        <f t="shared" si="489"/>
        <v>0</v>
      </c>
      <c r="BK348" s="26" t="s">
        <v>53</v>
      </c>
      <c r="BL348" s="24"/>
      <c r="BW348" s="24">
        <v>21</v>
      </c>
      <c r="BX348" s="4" t="s">
        <v>980</v>
      </c>
    </row>
    <row r="349" spans="1:76" ht="14.4" x14ac:dyDescent="0.3">
      <c r="A349" s="2" t="s">
        <v>981</v>
      </c>
      <c r="B349" s="3" t="s">
        <v>943</v>
      </c>
      <c r="C349" s="82" t="s">
        <v>982</v>
      </c>
      <c r="D349" s="81"/>
      <c r="E349" s="3" t="s">
        <v>174</v>
      </c>
      <c r="F349" s="24">
        <v>300</v>
      </c>
      <c r="G349" s="180">
        <v>0</v>
      </c>
      <c r="H349" s="24">
        <f t="shared" si="466"/>
        <v>0</v>
      </c>
      <c r="I349" s="24">
        <f t="shared" si="467"/>
        <v>0</v>
      </c>
      <c r="J349" s="24">
        <f t="shared" si="468"/>
        <v>0</v>
      </c>
      <c r="K349" s="25"/>
      <c r="Z349" s="24">
        <f t="shared" si="469"/>
        <v>0</v>
      </c>
      <c r="AB349" s="24">
        <f t="shared" si="470"/>
        <v>0</v>
      </c>
      <c r="AC349" s="24">
        <f t="shared" si="471"/>
        <v>0</v>
      </c>
      <c r="AD349" s="24">
        <f t="shared" si="472"/>
        <v>0</v>
      </c>
      <c r="AE349" s="24">
        <f t="shared" si="473"/>
        <v>0</v>
      </c>
      <c r="AF349" s="24">
        <f t="shared" si="474"/>
        <v>0</v>
      </c>
      <c r="AG349" s="24">
        <f t="shared" si="475"/>
        <v>0</v>
      </c>
      <c r="AH349" s="24">
        <f t="shared" si="476"/>
        <v>0</v>
      </c>
      <c r="AI349" s="10" t="s">
        <v>43</v>
      </c>
      <c r="AJ349" s="24">
        <f t="shared" si="477"/>
        <v>0</v>
      </c>
      <c r="AK349" s="24">
        <f t="shared" si="478"/>
        <v>0</v>
      </c>
      <c r="AL349" s="24">
        <f t="shared" si="479"/>
        <v>0</v>
      </c>
      <c r="AN349" s="24">
        <v>21</v>
      </c>
      <c r="AO349" s="24">
        <f t="shared" si="480"/>
        <v>0</v>
      </c>
      <c r="AP349" s="24">
        <f t="shared" si="481"/>
        <v>0</v>
      </c>
      <c r="AQ349" s="26" t="s">
        <v>46</v>
      </c>
      <c r="AV349" s="24">
        <f t="shared" si="482"/>
        <v>0</v>
      </c>
      <c r="AW349" s="24">
        <f t="shared" si="483"/>
        <v>0</v>
      </c>
      <c r="AX349" s="24">
        <f t="shared" si="484"/>
        <v>0</v>
      </c>
      <c r="AY349" s="26" t="s">
        <v>945</v>
      </c>
      <c r="AZ349" s="26" t="s">
        <v>427</v>
      </c>
      <c r="BA349" s="10" t="s">
        <v>52</v>
      </c>
      <c r="BC349" s="24">
        <f t="shared" si="485"/>
        <v>0</v>
      </c>
      <c r="BD349" s="24">
        <f t="shared" si="486"/>
        <v>0</v>
      </c>
      <c r="BE349" s="24">
        <v>0</v>
      </c>
      <c r="BF349" s="24">
        <f>346</f>
        <v>346</v>
      </c>
      <c r="BH349" s="24">
        <f t="shared" si="487"/>
        <v>0</v>
      </c>
      <c r="BI349" s="24">
        <f t="shared" si="488"/>
        <v>0</v>
      </c>
      <c r="BJ349" s="24">
        <f t="shared" si="489"/>
        <v>0</v>
      </c>
      <c r="BK349" s="26" t="s">
        <v>53</v>
      </c>
      <c r="BL349" s="24"/>
      <c r="BW349" s="24">
        <v>21</v>
      </c>
      <c r="BX349" s="4" t="s">
        <v>982</v>
      </c>
    </row>
    <row r="350" spans="1:76" ht="14.4" x14ac:dyDescent="0.3">
      <c r="A350" s="2" t="s">
        <v>983</v>
      </c>
      <c r="B350" s="3" t="s">
        <v>943</v>
      </c>
      <c r="C350" s="82" t="s">
        <v>867</v>
      </c>
      <c r="D350" s="81"/>
      <c r="E350" s="3" t="s">
        <v>174</v>
      </c>
      <c r="F350" s="24">
        <v>5</v>
      </c>
      <c r="G350" s="180">
        <v>0</v>
      </c>
      <c r="H350" s="24">
        <f t="shared" si="466"/>
        <v>0</v>
      </c>
      <c r="I350" s="24">
        <f t="shared" si="467"/>
        <v>0</v>
      </c>
      <c r="J350" s="24">
        <f t="shared" si="468"/>
        <v>0</v>
      </c>
      <c r="K350" s="25"/>
      <c r="Z350" s="24">
        <f t="shared" si="469"/>
        <v>0</v>
      </c>
      <c r="AB350" s="24">
        <f t="shared" si="470"/>
        <v>0</v>
      </c>
      <c r="AC350" s="24">
        <f t="shared" si="471"/>
        <v>0</v>
      </c>
      <c r="AD350" s="24">
        <f t="shared" si="472"/>
        <v>0</v>
      </c>
      <c r="AE350" s="24">
        <f t="shared" si="473"/>
        <v>0</v>
      </c>
      <c r="AF350" s="24">
        <f t="shared" si="474"/>
        <v>0</v>
      </c>
      <c r="AG350" s="24">
        <f t="shared" si="475"/>
        <v>0</v>
      </c>
      <c r="AH350" s="24">
        <f t="shared" si="476"/>
        <v>0</v>
      </c>
      <c r="AI350" s="10" t="s">
        <v>43</v>
      </c>
      <c r="AJ350" s="24">
        <f t="shared" si="477"/>
        <v>0</v>
      </c>
      <c r="AK350" s="24">
        <f t="shared" si="478"/>
        <v>0</v>
      </c>
      <c r="AL350" s="24">
        <f t="shared" si="479"/>
        <v>0</v>
      </c>
      <c r="AN350" s="24">
        <v>21</v>
      </c>
      <c r="AO350" s="24">
        <f t="shared" si="480"/>
        <v>0</v>
      </c>
      <c r="AP350" s="24">
        <f t="shared" si="481"/>
        <v>0</v>
      </c>
      <c r="AQ350" s="26" t="s">
        <v>46</v>
      </c>
      <c r="AV350" s="24">
        <f t="shared" si="482"/>
        <v>0</v>
      </c>
      <c r="AW350" s="24">
        <f t="shared" si="483"/>
        <v>0</v>
      </c>
      <c r="AX350" s="24">
        <f t="shared" si="484"/>
        <v>0</v>
      </c>
      <c r="AY350" s="26" t="s">
        <v>945</v>
      </c>
      <c r="AZ350" s="26" t="s">
        <v>427</v>
      </c>
      <c r="BA350" s="10" t="s">
        <v>52</v>
      </c>
      <c r="BC350" s="24">
        <f t="shared" si="485"/>
        <v>0</v>
      </c>
      <c r="BD350" s="24">
        <f t="shared" si="486"/>
        <v>0</v>
      </c>
      <c r="BE350" s="24">
        <v>0</v>
      </c>
      <c r="BF350" s="24">
        <f>347</f>
        <v>347</v>
      </c>
      <c r="BH350" s="24">
        <f t="shared" si="487"/>
        <v>0</v>
      </c>
      <c r="BI350" s="24">
        <f t="shared" si="488"/>
        <v>0</v>
      </c>
      <c r="BJ350" s="24">
        <f t="shared" si="489"/>
        <v>0</v>
      </c>
      <c r="BK350" s="26" t="s">
        <v>53</v>
      </c>
      <c r="BL350" s="24"/>
      <c r="BW350" s="24">
        <v>21</v>
      </c>
      <c r="BX350" s="4" t="s">
        <v>867</v>
      </c>
    </row>
    <row r="351" spans="1:76" ht="26.4" x14ac:dyDescent="0.3">
      <c r="A351" s="2" t="s">
        <v>984</v>
      </c>
      <c r="B351" s="3" t="s">
        <v>943</v>
      </c>
      <c r="C351" s="82" t="s">
        <v>985</v>
      </c>
      <c r="D351" s="81"/>
      <c r="E351" s="3" t="s">
        <v>174</v>
      </c>
      <c r="F351" s="24">
        <v>4</v>
      </c>
      <c r="G351" s="180">
        <v>0</v>
      </c>
      <c r="H351" s="24">
        <f t="shared" si="466"/>
        <v>0</v>
      </c>
      <c r="I351" s="24">
        <f t="shared" si="467"/>
        <v>0</v>
      </c>
      <c r="J351" s="24">
        <f t="shared" si="468"/>
        <v>0</v>
      </c>
      <c r="K351" s="25"/>
      <c r="Z351" s="24">
        <f t="shared" si="469"/>
        <v>0</v>
      </c>
      <c r="AB351" s="24">
        <f t="shared" si="470"/>
        <v>0</v>
      </c>
      <c r="AC351" s="24">
        <f t="shared" si="471"/>
        <v>0</v>
      </c>
      <c r="AD351" s="24">
        <f t="shared" si="472"/>
        <v>0</v>
      </c>
      <c r="AE351" s="24">
        <f t="shared" si="473"/>
        <v>0</v>
      </c>
      <c r="AF351" s="24">
        <f t="shared" si="474"/>
        <v>0</v>
      </c>
      <c r="AG351" s="24">
        <f t="shared" si="475"/>
        <v>0</v>
      </c>
      <c r="AH351" s="24">
        <f t="shared" si="476"/>
        <v>0</v>
      </c>
      <c r="AI351" s="10" t="s">
        <v>43</v>
      </c>
      <c r="AJ351" s="24">
        <f t="shared" si="477"/>
        <v>0</v>
      </c>
      <c r="AK351" s="24">
        <f t="shared" si="478"/>
        <v>0</v>
      </c>
      <c r="AL351" s="24">
        <f t="shared" si="479"/>
        <v>0</v>
      </c>
      <c r="AN351" s="24">
        <v>21</v>
      </c>
      <c r="AO351" s="24">
        <f t="shared" si="480"/>
        <v>0</v>
      </c>
      <c r="AP351" s="24">
        <f t="shared" si="481"/>
        <v>0</v>
      </c>
      <c r="AQ351" s="26" t="s">
        <v>46</v>
      </c>
      <c r="AV351" s="24">
        <f t="shared" si="482"/>
        <v>0</v>
      </c>
      <c r="AW351" s="24">
        <f t="shared" si="483"/>
        <v>0</v>
      </c>
      <c r="AX351" s="24">
        <f t="shared" si="484"/>
        <v>0</v>
      </c>
      <c r="AY351" s="26" t="s">
        <v>945</v>
      </c>
      <c r="AZ351" s="26" t="s">
        <v>427</v>
      </c>
      <c r="BA351" s="10" t="s">
        <v>52</v>
      </c>
      <c r="BC351" s="24">
        <f t="shared" si="485"/>
        <v>0</v>
      </c>
      <c r="BD351" s="24">
        <f t="shared" si="486"/>
        <v>0</v>
      </c>
      <c r="BE351" s="24">
        <v>0</v>
      </c>
      <c r="BF351" s="24">
        <f>348</f>
        <v>348</v>
      </c>
      <c r="BH351" s="24">
        <f t="shared" si="487"/>
        <v>0</v>
      </c>
      <c r="BI351" s="24">
        <f t="shared" si="488"/>
        <v>0</v>
      </c>
      <c r="BJ351" s="24">
        <f t="shared" si="489"/>
        <v>0</v>
      </c>
      <c r="BK351" s="26" t="s">
        <v>53</v>
      </c>
      <c r="BL351" s="24"/>
      <c r="BW351" s="24">
        <v>21</v>
      </c>
      <c r="BX351" s="4" t="s">
        <v>985</v>
      </c>
    </row>
    <row r="352" spans="1:76" ht="26.4" x14ac:dyDescent="0.3">
      <c r="A352" s="2" t="s">
        <v>986</v>
      </c>
      <c r="B352" s="3" t="s">
        <v>943</v>
      </c>
      <c r="C352" s="82" t="s">
        <v>987</v>
      </c>
      <c r="D352" s="81"/>
      <c r="E352" s="3" t="s">
        <v>174</v>
      </c>
      <c r="F352" s="24">
        <v>1</v>
      </c>
      <c r="G352" s="180">
        <v>0</v>
      </c>
      <c r="H352" s="24">
        <f t="shared" si="466"/>
        <v>0</v>
      </c>
      <c r="I352" s="24">
        <f t="shared" si="467"/>
        <v>0</v>
      </c>
      <c r="J352" s="24">
        <f t="shared" si="468"/>
        <v>0</v>
      </c>
      <c r="K352" s="25"/>
      <c r="Z352" s="24">
        <f t="shared" si="469"/>
        <v>0</v>
      </c>
      <c r="AB352" s="24">
        <f t="shared" si="470"/>
        <v>0</v>
      </c>
      <c r="AC352" s="24">
        <f t="shared" si="471"/>
        <v>0</v>
      </c>
      <c r="AD352" s="24">
        <f t="shared" si="472"/>
        <v>0</v>
      </c>
      <c r="AE352" s="24">
        <f t="shared" si="473"/>
        <v>0</v>
      </c>
      <c r="AF352" s="24">
        <f t="shared" si="474"/>
        <v>0</v>
      </c>
      <c r="AG352" s="24">
        <f t="shared" si="475"/>
        <v>0</v>
      </c>
      <c r="AH352" s="24">
        <f t="shared" si="476"/>
        <v>0</v>
      </c>
      <c r="AI352" s="10" t="s">
        <v>43</v>
      </c>
      <c r="AJ352" s="24">
        <f t="shared" si="477"/>
        <v>0</v>
      </c>
      <c r="AK352" s="24">
        <f t="shared" si="478"/>
        <v>0</v>
      </c>
      <c r="AL352" s="24">
        <f t="shared" si="479"/>
        <v>0</v>
      </c>
      <c r="AN352" s="24">
        <v>21</v>
      </c>
      <c r="AO352" s="24">
        <f t="shared" si="480"/>
        <v>0</v>
      </c>
      <c r="AP352" s="24">
        <f t="shared" si="481"/>
        <v>0</v>
      </c>
      <c r="AQ352" s="26" t="s">
        <v>46</v>
      </c>
      <c r="AV352" s="24">
        <f t="shared" si="482"/>
        <v>0</v>
      </c>
      <c r="AW352" s="24">
        <f t="shared" si="483"/>
        <v>0</v>
      </c>
      <c r="AX352" s="24">
        <f t="shared" si="484"/>
        <v>0</v>
      </c>
      <c r="AY352" s="26" t="s">
        <v>945</v>
      </c>
      <c r="AZ352" s="26" t="s">
        <v>427</v>
      </c>
      <c r="BA352" s="10" t="s">
        <v>52</v>
      </c>
      <c r="BC352" s="24">
        <f t="shared" si="485"/>
        <v>0</v>
      </c>
      <c r="BD352" s="24">
        <f t="shared" si="486"/>
        <v>0</v>
      </c>
      <c r="BE352" s="24">
        <v>0</v>
      </c>
      <c r="BF352" s="24">
        <f>349</f>
        <v>349</v>
      </c>
      <c r="BH352" s="24">
        <f t="shared" si="487"/>
        <v>0</v>
      </c>
      <c r="BI352" s="24">
        <f t="shared" si="488"/>
        <v>0</v>
      </c>
      <c r="BJ352" s="24">
        <f t="shared" si="489"/>
        <v>0</v>
      </c>
      <c r="BK352" s="26" t="s">
        <v>53</v>
      </c>
      <c r="BL352" s="24"/>
      <c r="BW352" s="24">
        <v>21</v>
      </c>
      <c r="BX352" s="4" t="s">
        <v>987</v>
      </c>
    </row>
    <row r="353" spans="1:76" ht="26.4" x14ac:dyDescent="0.3">
      <c r="A353" s="2" t="s">
        <v>988</v>
      </c>
      <c r="B353" s="3" t="s">
        <v>943</v>
      </c>
      <c r="C353" s="82" t="s">
        <v>989</v>
      </c>
      <c r="D353" s="81"/>
      <c r="E353" s="3" t="s">
        <v>174</v>
      </c>
      <c r="F353" s="24">
        <v>1</v>
      </c>
      <c r="G353" s="180">
        <v>0</v>
      </c>
      <c r="H353" s="24">
        <f t="shared" si="466"/>
        <v>0</v>
      </c>
      <c r="I353" s="24">
        <f t="shared" si="467"/>
        <v>0</v>
      </c>
      <c r="J353" s="24">
        <f t="shared" si="468"/>
        <v>0</v>
      </c>
      <c r="K353" s="25"/>
      <c r="Z353" s="24">
        <f t="shared" si="469"/>
        <v>0</v>
      </c>
      <c r="AB353" s="24">
        <f t="shared" si="470"/>
        <v>0</v>
      </c>
      <c r="AC353" s="24">
        <f t="shared" si="471"/>
        <v>0</v>
      </c>
      <c r="AD353" s="24">
        <f t="shared" si="472"/>
        <v>0</v>
      </c>
      <c r="AE353" s="24">
        <f t="shared" si="473"/>
        <v>0</v>
      </c>
      <c r="AF353" s="24">
        <f t="shared" si="474"/>
        <v>0</v>
      </c>
      <c r="AG353" s="24">
        <f t="shared" si="475"/>
        <v>0</v>
      </c>
      <c r="AH353" s="24">
        <f t="shared" si="476"/>
        <v>0</v>
      </c>
      <c r="AI353" s="10" t="s">
        <v>43</v>
      </c>
      <c r="AJ353" s="24">
        <f t="shared" si="477"/>
        <v>0</v>
      </c>
      <c r="AK353" s="24">
        <f t="shared" si="478"/>
        <v>0</v>
      </c>
      <c r="AL353" s="24">
        <f t="shared" si="479"/>
        <v>0</v>
      </c>
      <c r="AN353" s="24">
        <v>21</v>
      </c>
      <c r="AO353" s="24">
        <f t="shared" si="480"/>
        <v>0</v>
      </c>
      <c r="AP353" s="24">
        <f t="shared" si="481"/>
        <v>0</v>
      </c>
      <c r="AQ353" s="26" t="s">
        <v>46</v>
      </c>
      <c r="AV353" s="24">
        <f t="shared" si="482"/>
        <v>0</v>
      </c>
      <c r="AW353" s="24">
        <f t="shared" si="483"/>
        <v>0</v>
      </c>
      <c r="AX353" s="24">
        <f t="shared" si="484"/>
        <v>0</v>
      </c>
      <c r="AY353" s="26" t="s">
        <v>945</v>
      </c>
      <c r="AZ353" s="26" t="s">
        <v>427</v>
      </c>
      <c r="BA353" s="10" t="s">
        <v>52</v>
      </c>
      <c r="BC353" s="24">
        <f t="shared" si="485"/>
        <v>0</v>
      </c>
      <c r="BD353" s="24">
        <f t="shared" si="486"/>
        <v>0</v>
      </c>
      <c r="BE353" s="24">
        <v>0</v>
      </c>
      <c r="BF353" s="24">
        <f>350</f>
        <v>350</v>
      </c>
      <c r="BH353" s="24">
        <f t="shared" si="487"/>
        <v>0</v>
      </c>
      <c r="BI353" s="24">
        <f t="shared" si="488"/>
        <v>0</v>
      </c>
      <c r="BJ353" s="24">
        <f t="shared" si="489"/>
        <v>0</v>
      </c>
      <c r="BK353" s="26" t="s">
        <v>53</v>
      </c>
      <c r="BL353" s="24"/>
      <c r="BW353" s="24">
        <v>21</v>
      </c>
      <c r="BX353" s="4" t="s">
        <v>989</v>
      </c>
    </row>
    <row r="354" spans="1:76" ht="26.4" x14ac:dyDescent="0.3">
      <c r="A354" s="2" t="s">
        <v>990</v>
      </c>
      <c r="B354" s="3" t="s">
        <v>943</v>
      </c>
      <c r="C354" s="82" t="s">
        <v>991</v>
      </c>
      <c r="D354" s="81"/>
      <c r="E354" s="3" t="s">
        <v>174</v>
      </c>
      <c r="F354" s="24">
        <v>1</v>
      </c>
      <c r="G354" s="180">
        <v>0</v>
      </c>
      <c r="H354" s="24">
        <f t="shared" si="466"/>
        <v>0</v>
      </c>
      <c r="I354" s="24">
        <f t="shared" si="467"/>
        <v>0</v>
      </c>
      <c r="J354" s="24">
        <f t="shared" si="468"/>
        <v>0</v>
      </c>
      <c r="K354" s="25"/>
      <c r="Z354" s="24">
        <f t="shared" si="469"/>
        <v>0</v>
      </c>
      <c r="AB354" s="24">
        <f t="shared" si="470"/>
        <v>0</v>
      </c>
      <c r="AC354" s="24">
        <f t="shared" si="471"/>
        <v>0</v>
      </c>
      <c r="AD354" s="24">
        <f t="shared" si="472"/>
        <v>0</v>
      </c>
      <c r="AE354" s="24">
        <f t="shared" si="473"/>
        <v>0</v>
      </c>
      <c r="AF354" s="24">
        <f t="shared" si="474"/>
        <v>0</v>
      </c>
      <c r="AG354" s="24">
        <f t="shared" si="475"/>
        <v>0</v>
      </c>
      <c r="AH354" s="24">
        <f t="shared" si="476"/>
        <v>0</v>
      </c>
      <c r="AI354" s="10" t="s">
        <v>43</v>
      </c>
      <c r="AJ354" s="24">
        <f t="shared" si="477"/>
        <v>0</v>
      </c>
      <c r="AK354" s="24">
        <f t="shared" si="478"/>
        <v>0</v>
      </c>
      <c r="AL354" s="24">
        <f t="shared" si="479"/>
        <v>0</v>
      </c>
      <c r="AN354" s="24">
        <v>21</v>
      </c>
      <c r="AO354" s="24">
        <f t="shared" si="480"/>
        <v>0</v>
      </c>
      <c r="AP354" s="24">
        <f t="shared" si="481"/>
        <v>0</v>
      </c>
      <c r="AQ354" s="26" t="s">
        <v>46</v>
      </c>
      <c r="AV354" s="24">
        <f t="shared" si="482"/>
        <v>0</v>
      </c>
      <c r="AW354" s="24">
        <f t="shared" si="483"/>
        <v>0</v>
      </c>
      <c r="AX354" s="24">
        <f t="shared" si="484"/>
        <v>0</v>
      </c>
      <c r="AY354" s="26" t="s">
        <v>945</v>
      </c>
      <c r="AZ354" s="26" t="s">
        <v>427</v>
      </c>
      <c r="BA354" s="10" t="s">
        <v>52</v>
      </c>
      <c r="BC354" s="24">
        <f t="shared" si="485"/>
        <v>0</v>
      </c>
      <c r="BD354" s="24">
        <f t="shared" si="486"/>
        <v>0</v>
      </c>
      <c r="BE354" s="24">
        <v>0</v>
      </c>
      <c r="BF354" s="24">
        <f>351</f>
        <v>351</v>
      </c>
      <c r="BH354" s="24">
        <f t="shared" si="487"/>
        <v>0</v>
      </c>
      <c r="BI354" s="24">
        <f t="shared" si="488"/>
        <v>0</v>
      </c>
      <c r="BJ354" s="24">
        <f t="shared" si="489"/>
        <v>0</v>
      </c>
      <c r="BK354" s="26" t="s">
        <v>53</v>
      </c>
      <c r="BL354" s="24"/>
      <c r="BW354" s="24">
        <v>21</v>
      </c>
      <c r="BX354" s="4" t="s">
        <v>991</v>
      </c>
    </row>
    <row r="355" spans="1:76" ht="26.4" x14ac:dyDescent="0.3">
      <c r="A355" s="2" t="s">
        <v>992</v>
      </c>
      <c r="B355" s="3" t="s">
        <v>943</v>
      </c>
      <c r="C355" s="82" t="s">
        <v>993</v>
      </c>
      <c r="D355" s="81"/>
      <c r="E355" s="3" t="s">
        <v>174</v>
      </c>
      <c r="F355" s="24">
        <v>14</v>
      </c>
      <c r="G355" s="180">
        <v>0</v>
      </c>
      <c r="H355" s="24">
        <f t="shared" si="466"/>
        <v>0</v>
      </c>
      <c r="I355" s="24">
        <f t="shared" si="467"/>
        <v>0</v>
      </c>
      <c r="J355" s="24">
        <f t="shared" si="468"/>
        <v>0</v>
      </c>
      <c r="K355" s="25"/>
      <c r="Z355" s="24">
        <f t="shared" si="469"/>
        <v>0</v>
      </c>
      <c r="AB355" s="24">
        <f t="shared" si="470"/>
        <v>0</v>
      </c>
      <c r="AC355" s="24">
        <f t="shared" si="471"/>
        <v>0</v>
      </c>
      <c r="AD355" s="24">
        <f t="shared" si="472"/>
        <v>0</v>
      </c>
      <c r="AE355" s="24">
        <f t="shared" si="473"/>
        <v>0</v>
      </c>
      <c r="AF355" s="24">
        <f t="shared" si="474"/>
        <v>0</v>
      </c>
      <c r="AG355" s="24">
        <f t="shared" si="475"/>
        <v>0</v>
      </c>
      <c r="AH355" s="24">
        <f t="shared" si="476"/>
        <v>0</v>
      </c>
      <c r="AI355" s="10" t="s">
        <v>43</v>
      </c>
      <c r="AJ355" s="24">
        <f t="shared" si="477"/>
        <v>0</v>
      </c>
      <c r="AK355" s="24">
        <f t="shared" si="478"/>
        <v>0</v>
      </c>
      <c r="AL355" s="24">
        <f t="shared" si="479"/>
        <v>0</v>
      </c>
      <c r="AN355" s="24">
        <v>21</v>
      </c>
      <c r="AO355" s="24">
        <f t="shared" si="480"/>
        <v>0</v>
      </c>
      <c r="AP355" s="24">
        <f t="shared" si="481"/>
        <v>0</v>
      </c>
      <c r="AQ355" s="26" t="s">
        <v>46</v>
      </c>
      <c r="AV355" s="24">
        <f t="shared" si="482"/>
        <v>0</v>
      </c>
      <c r="AW355" s="24">
        <f t="shared" si="483"/>
        <v>0</v>
      </c>
      <c r="AX355" s="24">
        <f t="shared" si="484"/>
        <v>0</v>
      </c>
      <c r="AY355" s="26" t="s">
        <v>945</v>
      </c>
      <c r="AZ355" s="26" t="s">
        <v>427</v>
      </c>
      <c r="BA355" s="10" t="s">
        <v>52</v>
      </c>
      <c r="BC355" s="24">
        <f t="shared" si="485"/>
        <v>0</v>
      </c>
      <c r="BD355" s="24">
        <f t="shared" si="486"/>
        <v>0</v>
      </c>
      <c r="BE355" s="24">
        <v>0</v>
      </c>
      <c r="BF355" s="24">
        <f>352</f>
        <v>352</v>
      </c>
      <c r="BH355" s="24">
        <f t="shared" si="487"/>
        <v>0</v>
      </c>
      <c r="BI355" s="24">
        <f t="shared" si="488"/>
        <v>0</v>
      </c>
      <c r="BJ355" s="24">
        <f t="shared" si="489"/>
        <v>0</v>
      </c>
      <c r="BK355" s="26" t="s">
        <v>53</v>
      </c>
      <c r="BL355" s="24"/>
      <c r="BW355" s="24">
        <v>21</v>
      </c>
      <c r="BX355" s="4" t="s">
        <v>993</v>
      </c>
    </row>
    <row r="356" spans="1:76" ht="14.4" x14ac:dyDescent="0.3">
      <c r="A356" s="2" t="s">
        <v>994</v>
      </c>
      <c r="B356" s="3" t="s">
        <v>943</v>
      </c>
      <c r="C356" s="82" t="s">
        <v>995</v>
      </c>
      <c r="D356" s="81"/>
      <c r="E356" s="3" t="s">
        <v>174</v>
      </c>
      <c r="F356" s="24">
        <v>6</v>
      </c>
      <c r="G356" s="180">
        <v>0</v>
      </c>
      <c r="H356" s="24">
        <f t="shared" si="466"/>
        <v>0</v>
      </c>
      <c r="I356" s="24">
        <f t="shared" si="467"/>
        <v>0</v>
      </c>
      <c r="J356" s="24">
        <f t="shared" si="468"/>
        <v>0</v>
      </c>
      <c r="K356" s="25"/>
      <c r="Z356" s="24">
        <f t="shared" si="469"/>
        <v>0</v>
      </c>
      <c r="AB356" s="24">
        <f t="shared" si="470"/>
        <v>0</v>
      </c>
      <c r="AC356" s="24">
        <f t="shared" si="471"/>
        <v>0</v>
      </c>
      <c r="AD356" s="24">
        <f t="shared" si="472"/>
        <v>0</v>
      </c>
      <c r="AE356" s="24">
        <f t="shared" si="473"/>
        <v>0</v>
      </c>
      <c r="AF356" s="24">
        <f t="shared" si="474"/>
        <v>0</v>
      </c>
      <c r="AG356" s="24">
        <f t="shared" si="475"/>
        <v>0</v>
      </c>
      <c r="AH356" s="24">
        <f t="shared" si="476"/>
        <v>0</v>
      </c>
      <c r="AI356" s="10" t="s">
        <v>43</v>
      </c>
      <c r="AJ356" s="24">
        <f t="shared" si="477"/>
        <v>0</v>
      </c>
      <c r="AK356" s="24">
        <f t="shared" si="478"/>
        <v>0</v>
      </c>
      <c r="AL356" s="24">
        <f t="shared" si="479"/>
        <v>0</v>
      </c>
      <c r="AN356" s="24">
        <v>21</v>
      </c>
      <c r="AO356" s="24">
        <f t="shared" si="480"/>
        <v>0</v>
      </c>
      <c r="AP356" s="24">
        <f t="shared" si="481"/>
        <v>0</v>
      </c>
      <c r="AQ356" s="26" t="s">
        <v>46</v>
      </c>
      <c r="AV356" s="24">
        <f t="shared" si="482"/>
        <v>0</v>
      </c>
      <c r="AW356" s="24">
        <f t="shared" si="483"/>
        <v>0</v>
      </c>
      <c r="AX356" s="24">
        <f t="shared" si="484"/>
        <v>0</v>
      </c>
      <c r="AY356" s="26" t="s">
        <v>945</v>
      </c>
      <c r="AZ356" s="26" t="s">
        <v>427</v>
      </c>
      <c r="BA356" s="10" t="s">
        <v>52</v>
      </c>
      <c r="BC356" s="24">
        <f t="shared" si="485"/>
        <v>0</v>
      </c>
      <c r="BD356" s="24">
        <f t="shared" si="486"/>
        <v>0</v>
      </c>
      <c r="BE356" s="24">
        <v>0</v>
      </c>
      <c r="BF356" s="24">
        <f>353</f>
        <v>353</v>
      </c>
      <c r="BH356" s="24">
        <f t="shared" si="487"/>
        <v>0</v>
      </c>
      <c r="BI356" s="24">
        <f t="shared" si="488"/>
        <v>0</v>
      </c>
      <c r="BJ356" s="24">
        <f t="shared" si="489"/>
        <v>0</v>
      </c>
      <c r="BK356" s="26" t="s">
        <v>53</v>
      </c>
      <c r="BL356" s="24"/>
      <c r="BW356" s="24">
        <v>21</v>
      </c>
      <c r="BX356" s="4" t="s">
        <v>995</v>
      </c>
    </row>
    <row r="357" spans="1:76" ht="14.4" x14ac:dyDescent="0.3">
      <c r="A357" s="2" t="s">
        <v>996</v>
      </c>
      <c r="B357" s="3" t="s">
        <v>943</v>
      </c>
      <c r="C357" s="82" t="s">
        <v>875</v>
      </c>
      <c r="D357" s="81"/>
      <c r="E357" s="3" t="s">
        <v>91</v>
      </c>
      <c r="F357" s="24">
        <v>180</v>
      </c>
      <c r="G357" s="180">
        <v>0</v>
      </c>
      <c r="H357" s="24">
        <f t="shared" si="466"/>
        <v>0</v>
      </c>
      <c r="I357" s="24">
        <f t="shared" si="467"/>
        <v>0</v>
      </c>
      <c r="J357" s="24">
        <f t="shared" si="468"/>
        <v>0</v>
      </c>
      <c r="K357" s="25"/>
      <c r="Z357" s="24">
        <f t="shared" si="469"/>
        <v>0</v>
      </c>
      <c r="AB357" s="24">
        <f t="shared" si="470"/>
        <v>0</v>
      </c>
      <c r="AC357" s="24">
        <f t="shared" si="471"/>
        <v>0</v>
      </c>
      <c r="AD357" s="24">
        <f t="shared" si="472"/>
        <v>0</v>
      </c>
      <c r="AE357" s="24">
        <f t="shared" si="473"/>
        <v>0</v>
      </c>
      <c r="AF357" s="24">
        <f t="shared" si="474"/>
        <v>0</v>
      </c>
      <c r="AG357" s="24">
        <f t="shared" si="475"/>
        <v>0</v>
      </c>
      <c r="AH357" s="24">
        <f t="shared" si="476"/>
        <v>0</v>
      </c>
      <c r="AI357" s="10" t="s">
        <v>43</v>
      </c>
      <c r="AJ357" s="24">
        <f t="shared" si="477"/>
        <v>0</v>
      </c>
      <c r="AK357" s="24">
        <f t="shared" si="478"/>
        <v>0</v>
      </c>
      <c r="AL357" s="24">
        <f t="shared" si="479"/>
        <v>0</v>
      </c>
      <c r="AN357" s="24">
        <v>21</v>
      </c>
      <c r="AO357" s="24">
        <f t="shared" si="480"/>
        <v>0</v>
      </c>
      <c r="AP357" s="24">
        <f t="shared" si="481"/>
        <v>0</v>
      </c>
      <c r="AQ357" s="26" t="s">
        <v>46</v>
      </c>
      <c r="AV357" s="24">
        <f t="shared" si="482"/>
        <v>0</v>
      </c>
      <c r="AW357" s="24">
        <f t="shared" si="483"/>
        <v>0</v>
      </c>
      <c r="AX357" s="24">
        <f t="shared" si="484"/>
        <v>0</v>
      </c>
      <c r="AY357" s="26" t="s">
        <v>945</v>
      </c>
      <c r="AZ357" s="26" t="s">
        <v>427</v>
      </c>
      <c r="BA357" s="10" t="s">
        <v>52</v>
      </c>
      <c r="BC357" s="24">
        <f t="shared" si="485"/>
        <v>0</v>
      </c>
      <c r="BD357" s="24">
        <f t="shared" si="486"/>
        <v>0</v>
      </c>
      <c r="BE357" s="24">
        <v>0</v>
      </c>
      <c r="BF357" s="24">
        <f>354</f>
        <v>354</v>
      </c>
      <c r="BH357" s="24">
        <f t="shared" si="487"/>
        <v>0</v>
      </c>
      <c r="BI357" s="24">
        <f t="shared" si="488"/>
        <v>0</v>
      </c>
      <c r="BJ357" s="24">
        <f t="shared" si="489"/>
        <v>0</v>
      </c>
      <c r="BK357" s="26" t="s">
        <v>53</v>
      </c>
      <c r="BL357" s="24"/>
      <c r="BW357" s="24">
        <v>21</v>
      </c>
      <c r="BX357" s="4" t="s">
        <v>875</v>
      </c>
    </row>
    <row r="358" spans="1:76" ht="14.4" x14ac:dyDescent="0.3">
      <c r="A358" s="2" t="s">
        <v>997</v>
      </c>
      <c r="B358" s="3" t="s">
        <v>943</v>
      </c>
      <c r="C358" s="82" t="s">
        <v>877</v>
      </c>
      <c r="D358" s="81"/>
      <c r="E358" s="3" t="s">
        <v>91</v>
      </c>
      <c r="F358" s="24">
        <v>420</v>
      </c>
      <c r="G358" s="180">
        <v>0</v>
      </c>
      <c r="H358" s="24">
        <f t="shared" si="466"/>
        <v>0</v>
      </c>
      <c r="I358" s="24">
        <f t="shared" si="467"/>
        <v>0</v>
      </c>
      <c r="J358" s="24">
        <f t="shared" si="468"/>
        <v>0</v>
      </c>
      <c r="K358" s="25"/>
      <c r="Z358" s="24">
        <f t="shared" si="469"/>
        <v>0</v>
      </c>
      <c r="AB358" s="24">
        <f t="shared" si="470"/>
        <v>0</v>
      </c>
      <c r="AC358" s="24">
        <f t="shared" si="471"/>
        <v>0</v>
      </c>
      <c r="AD358" s="24">
        <f t="shared" si="472"/>
        <v>0</v>
      </c>
      <c r="AE358" s="24">
        <f t="shared" si="473"/>
        <v>0</v>
      </c>
      <c r="AF358" s="24">
        <f t="shared" si="474"/>
        <v>0</v>
      </c>
      <c r="AG358" s="24">
        <f t="shared" si="475"/>
        <v>0</v>
      </c>
      <c r="AH358" s="24">
        <f t="shared" si="476"/>
        <v>0</v>
      </c>
      <c r="AI358" s="10" t="s">
        <v>43</v>
      </c>
      <c r="AJ358" s="24">
        <f t="shared" si="477"/>
        <v>0</v>
      </c>
      <c r="AK358" s="24">
        <f t="shared" si="478"/>
        <v>0</v>
      </c>
      <c r="AL358" s="24">
        <f t="shared" si="479"/>
        <v>0</v>
      </c>
      <c r="AN358" s="24">
        <v>21</v>
      </c>
      <c r="AO358" s="24">
        <f t="shared" si="480"/>
        <v>0</v>
      </c>
      <c r="AP358" s="24">
        <f t="shared" si="481"/>
        <v>0</v>
      </c>
      <c r="AQ358" s="26" t="s">
        <v>46</v>
      </c>
      <c r="AV358" s="24">
        <f t="shared" si="482"/>
        <v>0</v>
      </c>
      <c r="AW358" s="24">
        <f t="shared" si="483"/>
        <v>0</v>
      </c>
      <c r="AX358" s="24">
        <f t="shared" si="484"/>
        <v>0</v>
      </c>
      <c r="AY358" s="26" t="s">
        <v>945</v>
      </c>
      <c r="AZ358" s="26" t="s">
        <v>427</v>
      </c>
      <c r="BA358" s="10" t="s">
        <v>52</v>
      </c>
      <c r="BC358" s="24">
        <f t="shared" si="485"/>
        <v>0</v>
      </c>
      <c r="BD358" s="24">
        <f t="shared" si="486"/>
        <v>0</v>
      </c>
      <c r="BE358" s="24">
        <v>0</v>
      </c>
      <c r="BF358" s="24">
        <f>355</f>
        <v>355</v>
      </c>
      <c r="BH358" s="24">
        <f t="shared" si="487"/>
        <v>0</v>
      </c>
      <c r="BI358" s="24">
        <f t="shared" si="488"/>
        <v>0</v>
      </c>
      <c r="BJ358" s="24">
        <f t="shared" si="489"/>
        <v>0</v>
      </c>
      <c r="BK358" s="26" t="s">
        <v>53</v>
      </c>
      <c r="BL358" s="24"/>
      <c r="BW358" s="24">
        <v>21</v>
      </c>
      <c r="BX358" s="4" t="s">
        <v>877</v>
      </c>
    </row>
    <row r="359" spans="1:76" ht="14.4" x14ac:dyDescent="0.3">
      <c r="A359" s="2" t="s">
        <v>998</v>
      </c>
      <c r="B359" s="3" t="s">
        <v>943</v>
      </c>
      <c r="C359" s="82" t="s">
        <v>879</v>
      </c>
      <c r="D359" s="81"/>
      <c r="E359" s="3" t="s">
        <v>91</v>
      </c>
      <c r="F359" s="24">
        <v>170</v>
      </c>
      <c r="G359" s="180">
        <v>0</v>
      </c>
      <c r="H359" s="24">
        <f t="shared" si="466"/>
        <v>0</v>
      </c>
      <c r="I359" s="24">
        <f t="shared" si="467"/>
        <v>0</v>
      </c>
      <c r="J359" s="24">
        <f t="shared" si="468"/>
        <v>0</v>
      </c>
      <c r="K359" s="25"/>
      <c r="Z359" s="24">
        <f t="shared" si="469"/>
        <v>0</v>
      </c>
      <c r="AB359" s="24">
        <f t="shared" si="470"/>
        <v>0</v>
      </c>
      <c r="AC359" s="24">
        <f t="shared" si="471"/>
        <v>0</v>
      </c>
      <c r="AD359" s="24">
        <f t="shared" si="472"/>
        <v>0</v>
      </c>
      <c r="AE359" s="24">
        <f t="shared" si="473"/>
        <v>0</v>
      </c>
      <c r="AF359" s="24">
        <f t="shared" si="474"/>
        <v>0</v>
      </c>
      <c r="AG359" s="24">
        <f t="shared" si="475"/>
        <v>0</v>
      </c>
      <c r="AH359" s="24">
        <f t="shared" si="476"/>
        <v>0</v>
      </c>
      <c r="AI359" s="10" t="s">
        <v>43</v>
      </c>
      <c r="AJ359" s="24">
        <f t="shared" si="477"/>
        <v>0</v>
      </c>
      <c r="AK359" s="24">
        <f t="shared" si="478"/>
        <v>0</v>
      </c>
      <c r="AL359" s="24">
        <f t="shared" si="479"/>
        <v>0</v>
      </c>
      <c r="AN359" s="24">
        <v>21</v>
      </c>
      <c r="AO359" s="24">
        <f t="shared" si="480"/>
        <v>0</v>
      </c>
      <c r="AP359" s="24">
        <f t="shared" si="481"/>
        <v>0</v>
      </c>
      <c r="AQ359" s="26" t="s">
        <v>46</v>
      </c>
      <c r="AV359" s="24">
        <f t="shared" si="482"/>
        <v>0</v>
      </c>
      <c r="AW359" s="24">
        <f t="shared" si="483"/>
        <v>0</v>
      </c>
      <c r="AX359" s="24">
        <f t="shared" si="484"/>
        <v>0</v>
      </c>
      <c r="AY359" s="26" t="s">
        <v>945</v>
      </c>
      <c r="AZ359" s="26" t="s">
        <v>427</v>
      </c>
      <c r="BA359" s="10" t="s">
        <v>52</v>
      </c>
      <c r="BC359" s="24">
        <f t="shared" si="485"/>
        <v>0</v>
      </c>
      <c r="BD359" s="24">
        <f t="shared" si="486"/>
        <v>0</v>
      </c>
      <c r="BE359" s="24">
        <v>0</v>
      </c>
      <c r="BF359" s="24">
        <f>356</f>
        <v>356</v>
      </c>
      <c r="BH359" s="24">
        <f t="shared" si="487"/>
        <v>0</v>
      </c>
      <c r="BI359" s="24">
        <f t="shared" si="488"/>
        <v>0</v>
      </c>
      <c r="BJ359" s="24">
        <f t="shared" si="489"/>
        <v>0</v>
      </c>
      <c r="BK359" s="26" t="s">
        <v>53</v>
      </c>
      <c r="BL359" s="24"/>
      <c r="BW359" s="24">
        <v>21</v>
      </c>
      <c r="BX359" s="4" t="s">
        <v>879</v>
      </c>
    </row>
    <row r="360" spans="1:76" ht="14.4" x14ac:dyDescent="0.3">
      <c r="A360" s="2" t="s">
        <v>999</v>
      </c>
      <c r="B360" s="3" t="s">
        <v>943</v>
      </c>
      <c r="C360" s="82" t="s">
        <v>881</v>
      </c>
      <c r="D360" s="81"/>
      <c r="E360" s="3" t="s">
        <v>91</v>
      </c>
      <c r="F360" s="24">
        <v>670</v>
      </c>
      <c r="G360" s="180">
        <v>0</v>
      </c>
      <c r="H360" s="24">
        <f t="shared" si="466"/>
        <v>0</v>
      </c>
      <c r="I360" s="24">
        <f t="shared" si="467"/>
        <v>0</v>
      </c>
      <c r="J360" s="24">
        <f t="shared" si="468"/>
        <v>0</v>
      </c>
      <c r="K360" s="25"/>
      <c r="Z360" s="24">
        <f t="shared" si="469"/>
        <v>0</v>
      </c>
      <c r="AB360" s="24">
        <f t="shared" si="470"/>
        <v>0</v>
      </c>
      <c r="AC360" s="24">
        <f t="shared" si="471"/>
        <v>0</v>
      </c>
      <c r="AD360" s="24">
        <f t="shared" si="472"/>
        <v>0</v>
      </c>
      <c r="AE360" s="24">
        <f t="shared" si="473"/>
        <v>0</v>
      </c>
      <c r="AF360" s="24">
        <f t="shared" si="474"/>
        <v>0</v>
      </c>
      <c r="AG360" s="24">
        <f t="shared" si="475"/>
        <v>0</v>
      </c>
      <c r="AH360" s="24">
        <f t="shared" si="476"/>
        <v>0</v>
      </c>
      <c r="AI360" s="10" t="s">
        <v>43</v>
      </c>
      <c r="AJ360" s="24">
        <f t="shared" si="477"/>
        <v>0</v>
      </c>
      <c r="AK360" s="24">
        <f t="shared" si="478"/>
        <v>0</v>
      </c>
      <c r="AL360" s="24">
        <f t="shared" si="479"/>
        <v>0</v>
      </c>
      <c r="AN360" s="24">
        <v>21</v>
      </c>
      <c r="AO360" s="24">
        <f t="shared" si="480"/>
        <v>0</v>
      </c>
      <c r="AP360" s="24">
        <f t="shared" si="481"/>
        <v>0</v>
      </c>
      <c r="AQ360" s="26" t="s">
        <v>46</v>
      </c>
      <c r="AV360" s="24">
        <f t="shared" si="482"/>
        <v>0</v>
      </c>
      <c r="AW360" s="24">
        <f t="shared" si="483"/>
        <v>0</v>
      </c>
      <c r="AX360" s="24">
        <f t="shared" si="484"/>
        <v>0</v>
      </c>
      <c r="AY360" s="26" t="s">
        <v>945</v>
      </c>
      <c r="AZ360" s="26" t="s">
        <v>427</v>
      </c>
      <c r="BA360" s="10" t="s">
        <v>52</v>
      </c>
      <c r="BC360" s="24">
        <f t="shared" si="485"/>
        <v>0</v>
      </c>
      <c r="BD360" s="24">
        <f t="shared" si="486"/>
        <v>0</v>
      </c>
      <c r="BE360" s="24">
        <v>0</v>
      </c>
      <c r="BF360" s="24">
        <f>357</f>
        <v>357</v>
      </c>
      <c r="BH360" s="24">
        <f t="shared" si="487"/>
        <v>0</v>
      </c>
      <c r="BI360" s="24">
        <f t="shared" si="488"/>
        <v>0</v>
      </c>
      <c r="BJ360" s="24">
        <f t="shared" si="489"/>
        <v>0</v>
      </c>
      <c r="BK360" s="26" t="s">
        <v>53</v>
      </c>
      <c r="BL360" s="24"/>
      <c r="BW360" s="24">
        <v>21</v>
      </c>
      <c r="BX360" s="4" t="s">
        <v>881</v>
      </c>
    </row>
    <row r="361" spans="1:76" ht="14.4" x14ac:dyDescent="0.3">
      <c r="A361" s="2" t="s">
        <v>1000</v>
      </c>
      <c r="B361" s="3" t="s">
        <v>943</v>
      </c>
      <c r="C361" s="82" t="s">
        <v>883</v>
      </c>
      <c r="D361" s="81"/>
      <c r="E361" s="3" t="s">
        <v>91</v>
      </c>
      <c r="F361" s="24">
        <v>120</v>
      </c>
      <c r="G361" s="180">
        <v>0</v>
      </c>
      <c r="H361" s="24">
        <f t="shared" si="466"/>
        <v>0</v>
      </c>
      <c r="I361" s="24">
        <f t="shared" si="467"/>
        <v>0</v>
      </c>
      <c r="J361" s="24">
        <f t="shared" si="468"/>
        <v>0</v>
      </c>
      <c r="K361" s="25"/>
      <c r="Z361" s="24">
        <f t="shared" si="469"/>
        <v>0</v>
      </c>
      <c r="AB361" s="24">
        <f t="shared" si="470"/>
        <v>0</v>
      </c>
      <c r="AC361" s="24">
        <f t="shared" si="471"/>
        <v>0</v>
      </c>
      <c r="AD361" s="24">
        <f t="shared" si="472"/>
        <v>0</v>
      </c>
      <c r="AE361" s="24">
        <f t="shared" si="473"/>
        <v>0</v>
      </c>
      <c r="AF361" s="24">
        <f t="shared" si="474"/>
        <v>0</v>
      </c>
      <c r="AG361" s="24">
        <f t="shared" si="475"/>
        <v>0</v>
      </c>
      <c r="AH361" s="24">
        <f t="shared" si="476"/>
        <v>0</v>
      </c>
      <c r="AI361" s="10" t="s">
        <v>43</v>
      </c>
      <c r="AJ361" s="24">
        <f t="shared" si="477"/>
        <v>0</v>
      </c>
      <c r="AK361" s="24">
        <f t="shared" si="478"/>
        <v>0</v>
      </c>
      <c r="AL361" s="24">
        <f t="shared" si="479"/>
        <v>0</v>
      </c>
      <c r="AN361" s="24">
        <v>21</v>
      </c>
      <c r="AO361" s="24">
        <f t="shared" si="480"/>
        <v>0</v>
      </c>
      <c r="AP361" s="24">
        <f t="shared" si="481"/>
        <v>0</v>
      </c>
      <c r="AQ361" s="26" t="s">
        <v>46</v>
      </c>
      <c r="AV361" s="24">
        <f t="shared" si="482"/>
        <v>0</v>
      </c>
      <c r="AW361" s="24">
        <f t="shared" si="483"/>
        <v>0</v>
      </c>
      <c r="AX361" s="24">
        <f t="shared" si="484"/>
        <v>0</v>
      </c>
      <c r="AY361" s="26" t="s">
        <v>945</v>
      </c>
      <c r="AZ361" s="26" t="s">
        <v>427</v>
      </c>
      <c r="BA361" s="10" t="s">
        <v>52</v>
      </c>
      <c r="BC361" s="24">
        <f t="shared" si="485"/>
        <v>0</v>
      </c>
      <c r="BD361" s="24">
        <f t="shared" si="486"/>
        <v>0</v>
      </c>
      <c r="BE361" s="24">
        <v>0</v>
      </c>
      <c r="BF361" s="24">
        <f>358</f>
        <v>358</v>
      </c>
      <c r="BH361" s="24">
        <f t="shared" si="487"/>
        <v>0</v>
      </c>
      <c r="BI361" s="24">
        <f t="shared" si="488"/>
        <v>0</v>
      </c>
      <c r="BJ361" s="24">
        <f t="shared" si="489"/>
        <v>0</v>
      </c>
      <c r="BK361" s="26" t="s">
        <v>53</v>
      </c>
      <c r="BL361" s="24"/>
      <c r="BW361" s="24">
        <v>21</v>
      </c>
      <c r="BX361" s="4" t="s">
        <v>883</v>
      </c>
    </row>
    <row r="362" spans="1:76" ht="14.4" x14ac:dyDescent="0.3">
      <c r="A362" s="2" t="s">
        <v>1001</v>
      </c>
      <c r="B362" s="3" t="s">
        <v>943</v>
      </c>
      <c r="C362" s="82" t="s">
        <v>885</v>
      </c>
      <c r="D362" s="81"/>
      <c r="E362" s="3" t="s">
        <v>91</v>
      </c>
      <c r="F362" s="24">
        <v>15</v>
      </c>
      <c r="G362" s="180">
        <v>0</v>
      </c>
      <c r="H362" s="24">
        <f t="shared" si="466"/>
        <v>0</v>
      </c>
      <c r="I362" s="24">
        <f t="shared" si="467"/>
        <v>0</v>
      </c>
      <c r="J362" s="24">
        <f t="shared" si="468"/>
        <v>0</v>
      </c>
      <c r="K362" s="25"/>
      <c r="Z362" s="24">
        <f t="shared" si="469"/>
        <v>0</v>
      </c>
      <c r="AB362" s="24">
        <f t="shared" si="470"/>
        <v>0</v>
      </c>
      <c r="AC362" s="24">
        <f t="shared" si="471"/>
        <v>0</v>
      </c>
      <c r="AD362" s="24">
        <f t="shared" si="472"/>
        <v>0</v>
      </c>
      <c r="AE362" s="24">
        <f t="shared" si="473"/>
        <v>0</v>
      </c>
      <c r="AF362" s="24">
        <f t="shared" si="474"/>
        <v>0</v>
      </c>
      <c r="AG362" s="24">
        <f t="shared" si="475"/>
        <v>0</v>
      </c>
      <c r="AH362" s="24">
        <f t="shared" si="476"/>
        <v>0</v>
      </c>
      <c r="AI362" s="10" t="s">
        <v>43</v>
      </c>
      <c r="AJ362" s="24">
        <f t="shared" si="477"/>
        <v>0</v>
      </c>
      <c r="AK362" s="24">
        <f t="shared" si="478"/>
        <v>0</v>
      </c>
      <c r="AL362" s="24">
        <f t="shared" si="479"/>
        <v>0</v>
      </c>
      <c r="AN362" s="24">
        <v>21</v>
      </c>
      <c r="AO362" s="24">
        <f t="shared" si="480"/>
        <v>0</v>
      </c>
      <c r="AP362" s="24">
        <f t="shared" si="481"/>
        <v>0</v>
      </c>
      <c r="AQ362" s="26" t="s">
        <v>46</v>
      </c>
      <c r="AV362" s="24">
        <f t="shared" si="482"/>
        <v>0</v>
      </c>
      <c r="AW362" s="24">
        <f t="shared" si="483"/>
        <v>0</v>
      </c>
      <c r="AX362" s="24">
        <f t="shared" si="484"/>
        <v>0</v>
      </c>
      <c r="AY362" s="26" t="s">
        <v>945</v>
      </c>
      <c r="AZ362" s="26" t="s">
        <v>427</v>
      </c>
      <c r="BA362" s="10" t="s">
        <v>52</v>
      </c>
      <c r="BC362" s="24">
        <f t="shared" si="485"/>
        <v>0</v>
      </c>
      <c r="BD362" s="24">
        <f t="shared" si="486"/>
        <v>0</v>
      </c>
      <c r="BE362" s="24">
        <v>0</v>
      </c>
      <c r="BF362" s="24">
        <f>359</f>
        <v>359</v>
      </c>
      <c r="BH362" s="24">
        <f t="shared" si="487"/>
        <v>0</v>
      </c>
      <c r="BI362" s="24">
        <f t="shared" si="488"/>
        <v>0</v>
      </c>
      <c r="BJ362" s="24">
        <f t="shared" si="489"/>
        <v>0</v>
      </c>
      <c r="BK362" s="26" t="s">
        <v>53</v>
      </c>
      <c r="BL362" s="24"/>
      <c r="BW362" s="24">
        <v>21</v>
      </c>
      <c r="BX362" s="4" t="s">
        <v>885</v>
      </c>
    </row>
    <row r="363" spans="1:76" ht="14.4" x14ac:dyDescent="0.3">
      <c r="A363" s="2" t="s">
        <v>1002</v>
      </c>
      <c r="B363" s="3" t="s">
        <v>943</v>
      </c>
      <c r="C363" s="82" t="s">
        <v>887</v>
      </c>
      <c r="D363" s="81"/>
      <c r="E363" s="3" t="s">
        <v>91</v>
      </c>
      <c r="F363" s="24">
        <v>80</v>
      </c>
      <c r="G363" s="180">
        <v>0</v>
      </c>
      <c r="H363" s="24">
        <f t="shared" si="466"/>
        <v>0</v>
      </c>
      <c r="I363" s="24">
        <f t="shared" si="467"/>
        <v>0</v>
      </c>
      <c r="J363" s="24">
        <f t="shared" si="468"/>
        <v>0</v>
      </c>
      <c r="K363" s="25"/>
      <c r="Z363" s="24">
        <f t="shared" si="469"/>
        <v>0</v>
      </c>
      <c r="AB363" s="24">
        <f t="shared" si="470"/>
        <v>0</v>
      </c>
      <c r="AC363" s="24">
        <f t="shared" si="471"/>
        <v>0</v>
      </c>
      <c r="AD363" s="24">
        <f t="shared" si="472"/>
        <v>0</v>
      </c>
      <c r="AE363" s="24">
        <f t="shared" si="473"/>
        <v>0</v>
      </c>
      <c r="AF363" s="24">
        <f t="shared" si="474"/>
        <v>0</v>
      </c>
      <c r="AG363" s="24">
        <f t="shared" si="475"/>
        <v>0</v>
      </c>
      <c r="AH363" s="24">
        <f t="shared" si="476"/>
        <v>0</v>
      </c>
      <c r="AI363" s="10" t="s">
        <v>43</v>
      </c>
      <c r="AJ363" s="24">
        <f t="shared" si="477"/>
        <v>0</v>
      </c>
      <c r="AK363" s="24">
        <f t="shared" si="478"/>
        <v>0</v>
      </c>
      <c r="AL363" s="24">
        <f t="shared" si="479"/>
        <v>0</v>
      </c>
      <c r="AN363" s="24">
        <v>21</v>
      </c>
      <c r="AO363" s="24">
        <f t="shared" si="480"/>
        <v>0</v>
      </c>
      <c r="AP363" s="24">
        <f t="shared" si="481"/>
        <v>0</v>
      </c>
      <c r="AQ363" s="26" t="s">
        <v>46</v>
      </c>
      <c r="AV363" s="24">
        <f t="shared" si="482"/>
        <v>0</v>
      </c>
      <c r="AW363" s="24">
        <f t="shared" si="483"/>
        <v>0</v>
      </c>
      <c r="AX363" s="24">
        <f t="shared" si="484"/>
        <v>0</v>
      </c>
      <c r="AY363" s="26" t="s">
        <v>945</v>
      </c>
      <c r="AZ363" s="26" t="s">
        <v>427</v>
      </c>
      <c r="BA363" s="10" t="s">
        <v>52</v>
      </c>
      <c r="BC363" s="24">
        <f t="shared" si="485"/>
        <v>0</v>
      </c>
      <c r="BD363" s="24">
        <f t="shared" si="486"/>
        <v>0</v>
      </c>
      <c r="BE363" s="24">
        <v>0</v>
      </c>
      <c r="BF363" s="24">
        <f>360</f>
        <v>360</v>
      </c>
      <c r="BH363" s="24">
        <f t="shared" si="487"/>
        <v>0</v>
      </c>
      <c r="BI363" s="24">
        <f t="shared" si="488"/>
        <v>0</v>
      </c>
      <c r="BJ363" s="24">
        <f t="shared" si="489"/>
        <v>0</v>
      </c>
      <c r="BK363" s="26" t="s">
        <v>53</v>
      </c>
      <c r="BL363" s="24"/>
      <c r="BW363" s="24">
        <v>21</v>
      </c>
      <c r="BX363" s="4" t="s">
        <v>887</v>
      </c>
    </row>
    <row r="364" spans="1:76" ht="14.4" x14ac:dyDescent="0.3">
      <c r="A364" s="2" t="s">
        <v>1003</v>
      </c>
      <c r="B364" s="3" t="s">
        <v>943</v>
      </c>
      <c r="C364" s="82" t="s">
        <v>889</v>
      </c>
      <c r="D364" s="81"/>
      <c r="E364" s="3" t="s">
        <v>91</v>
      </c>
      <c r="F364" s="24">
        <v>60</v>
      </c>
      <c r="G364" s="180">
        <v>0</v>
      </c>
      <c r="H364" s="24">
        <f t="shared" si="466"/>
        <v>0</v>
      </c>
      <c r="I364" s="24">
        <f t="shared" si="467"/>
        <v>0</v>
      </c>
      <c r="J364" s="24">
        <f t="shared" si="468"/>
        <v>0</v>
      </c>
      <c r="K364" s="25"/>
      <c r="Z364" s="24">
        <f t="shared" si="469"/>
        <v>0</v>
      </c>
      <c r="AB364" s="24">
        <f t="shared" si="470"/>
        <v>0</v>
      </c>
      <c r="AC364" s="24">
        <f t="shared" si="471"/>
        <v>0</v>
      </c>
      <c r="AD364" s="24">
        <f t="shared" si="472"/>
        <v>0</v>
      </c>
      <c r="AE364" s="24">
        <f t="shared" si="473"/>
        <v>0</v>
      </c>
      <c r="AF364" s="24">
        <f t="shared" si="474"/>
        <v>0</v>
      </c>
      <c r="AG364" s="24">
        <f t="shared" si="475"/>
        <v>0</v>
      </c>
      <c r="AH364" s="24">
        <f t="shared" si="476"/>
        <v>0</v>
      </c>
      <c r="AI364" s="10" t="s">
        <v>43</v>
      </c>
      <c r="AJ364" s="24">
        <f t="shared" si="477"/>
        <v>0</v>
      </c>
      <c r="AK364" s="24">
        <f t="shared" si="478"/>
        <v>0</v>
      </c>
      <c r="AL364" s="24">
        <f t="shared" si="479"/>
        <v>0</v>
      </c>
      <c r="AN364" s="24">
        <v>21</v>
      </c>
      <c r="AO364" s="24">
        <f t="shared" si="480"/>
        <v>0</v>
      </c>
      <c r="AP364" s="24">
        <f t="shared" si="481"/>
        <v>0</v>
      </c>
      <c r="AQ364" s="26" t="s">
        <v>46</v>
      </c>
      <c r="AV364" s="24">
        <f t="shared" si="482"/>
        <v>0</v>
      </c>
      <c r="AW364" s="24">
        <f t="shared" si="483"/>
        <v>0</v>
      </c>
      <c r="AX364" s="24">
        <f t="shared" si="484"/>
        <v>0</v>
      </c>
      <c r="AY364" s="26" t="s">
        <v>945</v>
      </c>
      <c r="AZ364" s="26" t="s">
        <v>427</v>
      </c>
      <c r="BA364" s="10" t="s">
        <v>52</v>
      </c>
      <c r="BC364" s="24">
        <f t="shared" si="485"/>
        <v>0</v>
      </c>
      <c r="BD364" s="24">
        <f t="shared" si="486"/>
        <v>0</v>
      </c>
      <c r="BE364" s="24">
        <v>0</v>
      </c>
      <c r="BF364" s="24">
        <f>361</f>
        <v>361</v>
      </c>
      <c r="BH364" s="24">
        <f t="shared" si="487"/>
        <v>0</v>
      </c>
      <c r="BI364" s="24">
        <f t="shared" si="488"/>
        <v>0</v>
      </c>
      <c r="BJ364" s="24">
        <f t="shared" si="489"/>
        <v>0</v>
      </c>
      <c r="BK364" s="26" t="s">
        <v>53</v>
      </c>
      <c r="BL364" s="24"/>
      <c r="BW364" s="24">
        <v>21</v>
      </c>
      <c r="BX364" s="4" t="s">
        <v>889</v>
      </c>
    </row>
    <row r="365" spans="1:76" ht="14.4" x14ac:dyDescent="0.3">
      <c r="A365" s="2" t="s">
        <v>1004</v>
      </c>
      <c r="B365" s="3" t="s">
        <v>943</v>
      </c>
      <c r="C365" s="82" t="s">
        <v>891</v>
      </c>
      <c r="D365" s="81"/>
      <c r="E365" s="3" t="s">
        <v>91</v>
      </c>
      <c r="F365" s="24">
        <v>120</v>
      </c>
      <c r="G365" s="180">
        <v>0</v>
      </c>
      <c r="H365" s="24">
        <f t="shared" si="466"/>
        <v>0</v>
      </c>
      <c r="I365" s="24">
        <f t="shared" si="467"/>
        <v>0</v>
      </c>
      <c r="J365" s="24">
        <f t="shared" si="468"/>
        <v>0</v>
      </c>
      <c r="K365" s="25"/>
      <c r="Z365" s="24">
        <f t="shared" si="469"/>
        <v>0</v>
      </c>
      <c r="AB365" s="24">
        <f t="shared" si="470"/>
        <v>0</v>
      </c>
      <c r="AC365" s="24">
        <f t="shared" si="471"/>
        <v>0</v>
      </c>
      <c r="AD365" s="24">
        <f t="shared" si="472"/>
        <v>0</v>
      </c>
      <c r="AE365" s="24">
        <f t="shared" si="473"/>
        <v>0</v>
      </c>
      <c r="AF365" s="24">
        <f t="shared" si="474"/>
        <v>0</v>
      </c>
      <c r="AG365" s="24">
        <f t="shared" si="475"/>
        <v>0</v>
      </c>
      <c r="AH365" s="24">
        <f t="shared" si="476"/>
        <v>0</v>
      </c>
      <c r="AI365" s="10" t="s">
        <v>43</v>
      </c>
      <c r="AJ365" s="24">
        <f t="shared" si="477"/>
        <v>0</v>
      </c>
      <c r="AK365" s="24">
        <f t="shared" si="478"/>
        <v>0</v>
      </c>
      <c r="AL365" s="24">
        <f t="shared" si="479"/>
        <v>0</v>
      </c>
      <c r="AN365" s="24">
        <v>21</v>
      </c>
      <c r="AO365" s="24">
        <f t="shared" si="480"/>
        <v>0</v>
      </c>
      <c r="AP365" s="24">
        <f t="shared" si="481"/>
        <v>0</v>
      </c>
      <c r="AQ365" s="26" t="s">
        <v>46</v>
      </c>
      <c r="AV365" s="24">
        <f t="shared" si="482"/>
        <v>0</v>
      </c>
      <c r="AW365" s="24">
        <f t="shared" si="483"/>
        <v>0</v>
      </c>
      <c r="AX365" s="24">
        <f t="shared" si="484"/>
        <v>0</v>
      </c>
      <c r="AY365" s="26" t="s">
        <v>945</v>
      </c>
      <c r="AZ365" s="26" t="s">
        <v>427</v>
      </c>
      <c r="BA365" s="10" t="s">
        <v>52</v>
      </c>
      <c r="BC365" s="24">
        <f t="shared" si="485"/>
        <v>0</v>
      </c>
      <c r="BD365" s="24">
        <f t="shared" si="486"/>
        <v>0</v>
      </c>
      <c r="BE365" s="24">
        <v>0</v>
      </c>
      <c r="BF365" s="24">
        <f>362</f>
        <v>362</v>
      </c>
      <c r="BH365" s="24">
        <f t="shared" si="487"/>
        <v>0</v>
      </c>
      <c r="BI365" s="24">
        <f t="shared" si="488"/>
        <v>0</v>
      </c>
      <c r="BJ365" s="24">
        <f t="shared" si="489"/>
        <v>0</v>
      </c>
      <c r="BK365" s="26" t="s">
        <v>53</v>
      </c>
      <c r="BL365" s="24"/>
      <c r="BW365" s="24">
        <v>21</v>
      </c>
      <c r="BX365" s="4" t="s">
        <v>891</v>
      </c>
    </row>
    <row r="366" spans="1:76" ht="14.4" x14ac:dyDescent="0.3">
      <c r="A366" s="2" t="s">
        <v>1005</v>
      </c>
      <c r="B366" s="3" t="s">
        <v>943</v>
      </c>
      <c r="C366" s="82" t="s">
        <v>893</v>
      </c>
      <c r="D366" s="81"/>
      <c r="E366" s="3" t="s">
        <v>91</v>
      </c>
      <c r="F366" s="24">
        <v>60</v>
      </c>
      <c r="G366" s="180">
        <v>0</v>
      </c>
      <c r="H366" s="24">
        <f t="shared" si="466"/>
        <v>0</v>
      </c>
      <c r="I366" s="24">
        <f t="shared" si="467"/>
        <v>0</v>
      </c>
      <c r="J366" s="24">
        <f t="shared" si="468"/>
        <v>0</v>
      </c>
      <c r="K366" s="25"/>
      <c r="Z366" s="24">
        <f t="shared" si="469"/>
        <v>0</v>
      </c>
      <c r="AB366" s="24">
        <f t="shared" si="470"/>
        <v>0</v>
      </c>
      <c r="AC366" s="24">
        <f t="shared" si="471"/>
        <v>0</v>
      </c>
      <c r="AD366" s="24">
        <f t="shared" si="472"/>
        <v>0</v>
      </c>
      <c r="AE366" s="24">
        <f t="shared" si="473"/>
        <v>0</v>
      </c>
      <c r="AF366" s="24">
        <f t="shared" si="474"/>
        <v>0</v>
      </c>
      <c r="AG366" s="24">
        <f t="shared" si="475"/>
        <v>0</v>
      </c>
      <c r="AH366" s="24">
        <f t="shared" si="476"/>
        <v>0</v>
      </c>
      <c r="AI366" s="10" t="s">
        <v>43</v>
      </c>
      <c r="AJ366" s="24">
        <f t="shared" si="477"/>
        <v>0</v>
      </c>
      <c r="AK366" s="24">
        <f t="shared" si="478"/>
        <v>0</v>
      </c>
      <c r="AL366" s="24">
        <f t="shared" si="479"/>
        <v>0</v>
      </c>
      <c r="AN366" s="24">
        <v>21</v>
      </c>
      <c r="AO366" s="24">
        <f t="shared" si="480"/>
        <v>0</v>
      </c>
      <c r="AP366" s="24">
        <f t="shared" si="481"/>
        <v>0</v>
      </c>
      <c r="AQ366" s="26" t="s">
        <v>46</v>
      </c>
      <c r="AV366" s="24">
        <f t="shared" si="482"/>
        <v>0</v>
      </c>
      <c r="AW366" s="24">
        <f t="shared" si="483"/>
        <v>0</v>
      </c>
      <c r="AX366" s="24">
        <f t="shared" si="484"/>
        <v>0</v>
      </c>
      <c r="AY366" s="26" t="s">
        <v>945</v>
      </c>
      <c r="AZ366" s="26" t="s">
        <v>427</v>
      </c>
      <c r="BA366" s="10" t="s">
        <v>52</v>
      </c>
      <c r="BC366" s="24">
        <f t="shared" si="485"/>
        <v>0</v>
      </c>
      <c r="BD366" s="24">
        <f t="shared" si="486"/>
        <v>0</v>
      </c>
      <c r="BE366" s="24">
        <v>0</v>
      </c>
      <c r="BF366" s="24">
        <f>363</f>
        <v>363</v>
      </c>
      <c r="BH366" s="24">
        <f t="shared" si="487"/>
        <v>0</v>
      </c>
      <c r="BI366" s="24">
        <f t="shared" si="488"/>
        <v>0</v>
      </c>
      <c r="BJ366" s="24">
        <f t="shared" si="489"/>
        <v>0</v>
      </c>
      <c r="BK366" s="26" t="s">
        <v>53</v>
      </c>
      <c r="BL366" s="24"/>
      <c r="BW366" s="24">
        <v>21</v>
      </c>
      <c r="BX366" s="4" t="s">
        <v>893</v>
      </c>
    </row>
    <row r="367" spans="1:76" ht="14.4" x14ac:dyDescent="0.3">
      <c r="A367" s="27" t="s">
        <v>43</v>
      </c>
      <c r="B367" s="28" t="s">
        <v>1006</v>
      </c>
      <c r="C367" s="98" t="s">
        <v>1007</v>
      </c>
      <c r="D367" s="99"/>
      <c r="E367" s="29" t="s">
        <v>3</v>
      </c>
      <c r="F367" s="29" t="s">
        <v>3</v>
      </c>
      <c r="G367" s="29" t="s">
        <v>3</v>
      </c>
      <c r="H367" s="1">
        <f>ROUND(SUM(H368:H368),2)</f>
        <v>0</v>
      </c>
      <c r="I367" s="1">
        <f>ROUND(SUM(I368:I368),2)</f>
        <v>0</v>
      </c>
      <c r="J367" s="1">
        <f>ROUND(SUM(J368:J368),2)</f>
        <v>0</v>
      </c>
      <c r="K367" s="30"/>
      <c r="AI367" s="10" t="s">
        <v>43</v>
      </c>
      <c r="AS367" s="1">
        <f>SUM(AJ368:AJ368)</f>
        <v>0</v>
      </c>
      <c r="AT367" s="1">
        <f>SUM(AK368:AK368)</f>
        <v>0</v>
      </c>
      <c r="AU367" s="1">
        <f>SUM(AL368:AL368)</f>
        <v>0</v>
      </c>
    </row>
    <row r="368" spans="1:76" ht="14.4" x14ac:dyDescent="0.3">
      <c r="A368" s="2" t="s">
        <v>1008</v>
      </c>
      <c r="B368" s="3" t="s">
        <v>1009</v>
      </c>
      <c r="C368" s="82" t="s">
        <v>1010</v>
      </c>
      <c r="D368" s="81"/>
      <c r="E368" s="3" t="s">
        <v>215</v>
      </c>
      <c r="F368" s="24">
        <v>2</v>
      </c>
      <c r="G368" s="180">
        <v>0</v>
      </c>
      <c r="H368" s="24">
        <f>ROUND(F368*AO368,2)</f>
        <v>0</v>
      </c>
      <c r="I368" s="24">
        <f>ROUND(F368*AP368,2)</f>
        <v>0</v>
      </c>
      <c r="J368" s="24">
        <f>ROUND(F368*G368,2)</f>
        <v>0</v>
      </c>
      <c r="K368" s="25"/>
      <c r="Z368" s="24">
        <f>ROUND(IF(AQ368="5",BJ368,0),2)</f>
        <v>0</v>
      </c>
      <c r="AB368" s="24">
        <f>ROUND(IF(AQ368="1",BH368,0),2)</f>
        <v>0</v>
      </c>
      <c r="AC368" s="24">
        <f>ROUND(IF(AQ368="1",BI368,0),2)</f>
        <v>0</v>
      </c>
      <c r="AD368" s="24">
        <f>ROUND(IF(AQ368="7",BH368,0),2)</f>
        <v>0</v>
      </c>
      <c r="AE368" s="24">
        <f>ROUND(IF(AQ368="7",BI368,0),2)</f>
        <v>0</v>
      </c>
      <c r="AF368" s="24">
        <f>ROUND(IF(AQ368="2",BH368,0),2)</f>
        <v>0</v>
      </c>
      <c r="AG368" s="24">
        <f>ROUND(IF(AQ368="2",BI368,0),2)</f>
        <v>0</v>
      </c>
      <c r="AH368" s="24">
        <f>ROUND(IF(AQ368="0",BJ368,0),2)</f>
        <v>0</v>
      </c>
      <c r="AI368" s="10" t="s">
        <v>43</v>
      </c>
      <c r="AJ368" s="24">
        <f>IF(AN368=0,J368,0)</f>
        <v>0</v>
      </c>
      <c r="AK368" s="24">
        <f>IF(AN368=12,J368,0)</f>
        <v>0</v>
      </c>
      <c r="AL368" s="24">
        <f>IF(AN368=21,J368,0)</f>
        <v>0</v>
      </c>
      <c r="AN368" s="24">
        <v>21</v>
      </c>
      <c r="AO368" s="24">
        <f>G368*0.56334968</f>
        <v>0</v>
      </c>
      <c r="AP368" s="24">
        <f>G368*(1-0.56334968)</f>
        <v>0</v>
      </c>
      <c r="AQ368" s="26" t="s">
        <v>54</v>
      </c>
      <c r="AV368" s="24">
        <f>ROUND(AW368+AX368,2)</f>
        <v>0</v>
      </c>
      <c r="AW368" s="24">
        <f>ROUND(F368*AO368,2)</f>
        <v>0</v>
      </c>
      <c r="AX368" s="24">
        <f>ROUND(F368*AP368,2)</f>
        <v>0</v>
      </c>
      <c r="AY368" s="26" t="s">
        <v>1011</v>
      </c>
      <c r="AZ368" s="26" t="s">
        <v>427</v>
      </c>
      <c r="BA368" s="10" t="s">
        <v>52</v>
      </c>
      <c r="BC368" s="24">
        <f>AW368+AX368</f>
        <v>0</v>
      </c>
      <c r="BD368" s="24">
        <f>G368/(100-BE368)*100</f>
        <v>0</v>
      </c>
      <c r="BE368" s="24">
        <v>0</v>
      </c>
      <c r="BF368" s="24">
        <f>365</f>
        <v>365</v>
      </c>
      <c r="BH368" s="24">
        <f>F368*AO368</f>
        <v>0</v>
      </c>
      <c r="BI368" s="24">
        <f>F368*AP368</f>
        <v>0</v>
      </c>
      <c r="BJ368" s="24">
        <f>F368*G368</f>
        <v>0</v>
      </c>
      <c r="BK368" s="26" t="s">
        <v>53</v>
      </c>
      <c r="BL368" s="24"/>
      <c r="BW368" s="24">
        <v>21</v>
      </c>
      <c r="BX368" s="4" t="s">
        <v>1010</v>
      </c>
    </row>
    <row r="369" spans="1:76" ht="14.4" x14ac:dyDescent="0.3">
      <c r="A369" s="27" t="s">
        <v>43</v>
      </c>
      <c r="B369" s="28" t="s">
        <v>1012</v>
      </c>
      <c r="C369" s="98" t="s">
        <v>1013</v>
      </c>
      <c r="D369" s="99"/>
      <c r="E369" s="29" t="s">
        <v>3</v>
      </c>
      <c r="F369" s="29" t="s">
        <v>3</v>
      </c>
      <c r="G369" s="29" t="s">
        <v>3</v>
      </c>
      <c r="H369" s="1">
        <f>ROUND(SUM(H370:H378),2)</f>
        <v>0</v>
      </c>
      <c r="I369" s="1">
        <f>ROUND(SUM(I370:I378),2)</f>
        <v>0</v>
      </c>
      <c r="J369" s="1">
        <f>ROUND(SUM(J370:J378),2)</f>
        <v>0</v>
      </c>
      <c r="K369" s="30"/>
      <c r="AI369" s="10" t="s">
        <v>43</v>
      </c>
      <c r="AS369" s="1">
        <f>SUM(AJ370:AJ378)</f>
        <v>0</v>
      </c>
      <c r="AT369" s="1">
        <f>SUM(AK370:AK378)</f>
        <v>0</v>
      </c>
      <c r="AU369" s="1">
        <f>SUM(AL370:AL378)</f>
        <v>0</v>
      </c>
    </row>
    <row r="370" spans="1:76" ht="14.4" x14ac:dyDescent="0.3">
      <c r="A370" s="2" t="s">
        <v>1014</v>
      </c>
      <c r="B370" s="3" t="s">
        <v>1015</v>
      </c>
      <c r="C370" s="82" t="s">
        <v>1016</v>
      </c>
      <c r="D370" s="81"/>
      <c r="E370" s="3" t="s">
        <v>91</v>
      </c>
      <c r="F370" s="24">
        <v>240</v>
      </c>
      <c r="G370" s="180">
        <v>0</v>
      </c>
      <c r="H370" s="24">
        <f t="shared" ref="H370:H378" si="490">ROUND(F370*AO370,2)</f>
        <v>0</v>
      </c>
      <c r="I370" s="24">
        <f t="shared" ref="I370:I378" si="491">ROUND(F370*AP370,2)</f>
        <v>0</v>
      </c>
      <c r="J370" s="24">
        <f t="shared" ref="J370:J378" si="492">ROUND(F370*G370,2)</f>
        <v>0</v>
      </c>
      <c r="K370" s="25"/>
      <c r="Z370" s="24">
        <f t="shared" ref="Z370:Z378" si="493">ROUND(IF(AQ370="5",BJ370,0),2)</f>
        <v>0</v>
      </c>
      <c r="AB370" s="24">
        <f t="shared" ref="AB370:AB378" si="494">ROUND(IF(AQ370="1",BH370,0),2)</f>
        <v>0</v>
      </c>
      <c r="AC370" s="24">
        <f t="shared" ref="AC370:AC378" si="495">ROUND(IF(AQ370="1",BI370,0),2)</f>
        <v>0</v>
      </c>
      <c r="AD370" s="24">
        <f t="shared" ref="AD370:AD378" si="496">ROUND(IF(AQ370="7",BH370,0),2)</f>
        <v>0</v>
      </c>
      <c r="AE370" s="24">
        <f t="shared" ref="AE370:AE378" si="497">ROUND(IF(AQ370="7",BI370,0),2)</f>
        <v>0</v>
      </c>
      <c r="AF370" s="24">
        <f t="shared" ref="AF370:AF378" si="498">ROUND(IF(AQ370="2",BH370,0),2)</f>
        <v>0</v>
      </c>
      <c r="AG370" s="24">
        <f t="shared" ref="AG370:AG378" si="499">ROUND(IF(AQ370="2",BI370,0),2)</f>
        <v>0</v>
      </c>
      <c r="AH370" s="24">
        <f t="shared" ref="AH370:AH378" si="500">ROUND(IF(AQ370="0",BJ370,0),2)</f>
        <v>0</v>
      </c>
      <c r="AI370" s="10" t="s">
        <v>43</v>
      </c>
      <c r="AJ370" s="24">
        <f t="shared" ref="AJ370:AJ378" si="501">IF(AN370=0,J370,0)</f>
        <v>0</v>
      </c>
      <c r="AK370" s="24">
        <f t="shared" ref="AK370:AK378" si="502">IF(AN370=12,J370,0)</f>
        <v>0</v>
      </c>
      <c r="AL370" s="24">
        <f t="shared" ref="AL370:AL378" si="503">IF(AN370=21,J370,0)</f>
        <v>0</v>
      </c>
      <c r="AN370" s="24">
        <v>21</v>
      </c>
      <c r="AO370" s="24">
        <f>G370*0.463414634</f>
        <v>0</v>
      </c>
      <c r="AP370" s="24">
        <f>G370*(1-0.463414634)</f>
        <v>0</v>
      </c>
      <c r="AQ370" s="26" t="s">
        <v>46</v>
      </c>
      <c r="AV370" s="24">
        <f t="shared" ref="AV370:AV378" si="504">ROUND(AW370+AX370,2)</f>
        <v>0</v>
      </c>
      <c r="AW370" s="24">
        <f t="shared" ref="AW370:AW378" si="505">ROUND(F370*AO370,2)</f>
        <v>0</v>
      </c>
      <c r="AX370" s="24">
        <f t="shared" ref="AX370:AX378" si="506">ROUND(F370*AP370,2)</f>
        <v>0</v>
      </c>
      <c r="AY370" s="26" t="s">
        <v>1017</v>
      </c>
      <c r="AZ370" s="26" t="s">
        <v>427</v>
      </c>
      <c r="BA370" s="10" t="s">
        <v>52</v>
      </c>
      <c r="BC370" s="24">
        <f t="shared" ref="BC370:BC378" si="507">AW370+AX370</f>
        <v>0</v>
      </c>
      <c r="BD370" s="24">
        <f t="shared" ref="BD370:BD378" si="508">G370/(100-BE370)*100</f>
        <v>0</v>
      </c>
      <c r="BE370" s="24">
        <v>0</v>
      </c>
      <c r="BF370" s="24">
        <f>367</f>
        <v>367</v>
      </c>
      <c r="BH370" s="24">
        <f t="shared" ref="BH370:BH378" si="509">F370*AO370</f>
        <v>0</v>
      </c>
      <c r="BI370" s="24">
        <f t="shared" ref="BI370:BI378" si="510">F370*AP370</f>
        <v>0</v>
      </c>
      <c r="BJ370" s="24">
        <f t="shared" ref="BJ370:BJ378" si="511">F370*G370</f>
        <v>0</v>
      </c>
      <c r="BK370" s="26" t="s">
        <v>53</v>
      </c>
      <c r="BL370" s="24"/>
      <c r="BW370" s="24">
        <v>21</v>
      </c>
      <c r="BX370" s="4" t="s">
        <v>1016</v>
      </c>
    </row>
    <row r="371" spans="1:76" ht="14.4" x14ac:dyDescent="0.3">
      <c r="A371" s="2" t="s">
        <v>1018</v>
      </c>
      <c r="B371" s="3" t="s">
        <v>1019</v>
      </c>
      <c r="C371" s="82" t="s">
        <v>1020</v>
      </c>
      <c r="D371" s="81"/>
      <c r="E371" s="3" t="s">
        <v>174</v>
      </c>
      <c r="F371" s="24">
        <v>1</v>
      </c>
      <c r="G371" s="180">
        <v>0</v>
      </c>
      <c r="H371" s="24">
        <f t="shared" si="490"/>
        <v>0</v>
      </c>
      <c r="I371" s="24">
        <f t="shared" si="491"/>
        <v>0</v>
      </c>
      <c r="J371" s="24">
        <f t="shared" si="492"/>
        <v>0</v>
      </c>
      <c r="K371" s="25"/>
      <c r="Z371" s="24">
        <f t="shared" si="493"/>
        <v>0</v>
      </c>
      <c r="AB371" s="24">
        <f t="shared" si="494"/>
        <v>0</v>
      </c>
      <c r="AC371" s="24">
        <f t="shared" si="495"/>
        <v>0</v>
      </c>
      <c r="AD371" s="24">
        <f t="shared" si="496"/>
        <v>0</v>
      </c>
      <c r="AE371" s="24">
        <f t="shared" si="497"/>
        <v>0</v>
      </c>
      <c r="AF371" s="24">
        <f t="shared" si="498"/>
        <v>0</v>
      </c>
      <c r="AG371" s="24">
        <f t="shared" si="499"/>
        <v>0</v>
      </c>
      <c r="AH371" s="24">
        <f t="shared" si="500"/>
        <v>0</v>
      </c>
      <c r="AI371" s="10" t="s">
        <v>43</v>
      </c>
      <c r="AJ371" s="24">
        <f t="shared" si="501"/>
        <v>0</v>
      </c>
      <c r="AK371" s="24">
        <f t="shared" si="502"/>
        <v>0</v>
      </c>
      <c r="AL371" s="24">
        <f t="shared" si="503"/>
        <v>0</v>
      </c>
      <c r="AN371" s="24">
        <v>21</v>
      </c>
      <c r="AO371" s="24">
        <f>G371*0.64298725</f>
        <v>0</v>
      </c>
      <c r="AP371" s="24">
        <f>G371*(1-0.64298725)</f>
        <v>0</v>
      </c>
      <c r="AQ371" s="26" t="s">
        <v>46</v>
      </c>
      <c r="AV371" s="24">
        <f t="shared" si="504"/>
        <v>0</v>
      </c>
      <c r="AW371" s="24">
        <f t="shared" si="505"/>
        <v>0</v>
      </c>
      <c r="AX371" s="24">
        <f t="shared" si="506"/>
        <v>0</v>
      </c>
      <c r="AY371" s="26" t="s">
        <v>1017</v>
      </c>
      <c r="AZ371" s="26" t="s">
        <v>427</v>
      </c>
      <c r="BA371" s="10" t="s">
        <v>52</v>
      </c>
      <c r="BC371" s="24">
        <f t="shared" si="507"/>
        <v>0</v>
      </c>
      <c r="BD371" s="24">
        <f t="shared" si="508"/>
        <v>0</v>
      </c>
      <c r="BE371" s="24">
        <v>0</v>
      </c>
      <c r="BF371" s="24">
        <f>368</f>
        <v>368</v>
      </c>
      <c r="BH371" s="24">
        <f t="shared" si="509"/>
        <v>0</v>
      </c>
      <c r="BI371" s="24">
        <f t="shared" si="510"/>
        <v>0</v>
      </c>
      <c r="BJ371" s="24">
        <f t="shared" si="511"/>
        <v>0</v>
      </c>
      <c r="BK371" s="26" t="s">
        <v>53</v>
      </c>
      <c r="BL371" s="24"/>
      <c r="BW371" s="24">
        <v>21</v>
      </c>
      <c r="BX371" s="4" t="s">
        <v>1020</v>
      </c>
    </row>
    <row r="372" spans="1:76" ht="14.4" x14ac:dyDescent="0.3">
      <c r="A372" s="2" t="s">
        <v>1021</v>
      </c>
      <c r="B372" s="3" t="s">
        <v>1022</v>
      </c>
      <c r="C372" s="82" t="s">
        <v>1023</v>
      </c>
      <c r="D372" s="81"/>
      <c r="E372" s="3" t="s">
        <v>174</v>
      </c>
      <c r="F372" s="24">
        <v>8</v>
      </c>
      <c r="G372" s="180">
        <v>0</v>
      </c>
      <c r="H372" s="24">
        <f t="shared" si="490"/>
        <v>0</v>
      </c>
      <c r="I372" s="24">
        <f t="shared" si="491"/>
        <v>0</v>
      </c>
      <c r="J372" s="24">
        <f t="shared" si="492"/>
        <v>0</v>
      </c>
      <c r="K372" s="25"/>
      <c r="Z372" s="24">
        <f t="shared" si="493"/>
        <v>0</v>
      </c>
      <c r="AB372" s="24">
        <f t="shared" si="494"/>
        <v>0</v>
      </c>
      <c r="AC372" s="24">
        <f t="shared" si="495"/>
        <v>0</v>
      </c>
      <c r="AD372" s="24">
        <f t="shared" si="496"/>
        <v>0</v>
      </c>
      <c r="AE372" s="24">
        <f t="shared" si="497"/>
        <v>0</v>
      </c>
      <c r="AF372" s="24">
        <f t="shared" si="498"/>
        <v>0</v>
      </c>
      <c r="AG372" s="24">
        <f t="shared" si="499"/>
        <v>0</v>
      </c>
      <c r="AH372" s="24">
        <f t="shared" si="500"/>
        <v>0</v>
      </c>
      <c r="AI372" s="10" t="s">
        <v>43</v>
      </c>
      <c r="AJ372" s="24">
        <f t="shared" si="501"/>
        <v>0</v>
      </c>
      <c r="AK372" s="24">
        <f t="shared" si="502"/>
        <v>0</v>
      </c>
      <c r="AL372" s="24">
        <f t="shared" si="503"/>
        <v>0</v>
      </c>
      <c r="AN372" s="24">
        <v>21</v>
      </c>
      <c r="AO372" s="24">
        <f>G372*0.862068966</f>
        <v>0</v>
      </c>
      <c r="AP372" s="24">
        <f>G372*(1-0.862068966)</f>
        <v>0</v>
      </c>
      <c r="AQ372" s="26" t="s">
        <v>46</v>
      </c>
      <c r="AV372" s="24">
        <f t="shared" si="504"/>
        <v>0</v>
      </c>
      <c r="AW372" s="24">
        <f t="shared" si="505"/>
        <v>0</v>
      </c>
      <c r="AX372" s="24">
        <f t="shared" si="506"/>
        <v>0</v>
      </c>
      <c r="AY372" s="26" t="s">
        <v>1017</v>
      </c>
      <c r="AZ372" s="26" t="s">
        <v>427</v>
      </c>
      <c r="BA372" s="10" t="s">
        <v>52</v>
      </c>
      <c r="BC372" s="24">
        <f t="shared" si="507"/>
        <v>0</v>
      </c>
      <c r="BD372" s="24">
        <f t="shared" si="508"/>
        <v>0</v>
      </c>
      <c r="BE372" s="24">
        <v>0</v>
      </c>
      <c r="BF372" s="24">
        <f>369</f>
        <v>369</v>
      </c>
      <c r="BH372" s="24">
        <f t="shared" si="509"/>
        <v>0</v>
      </c>
      <c r="BI372" s="24">
        <f t="shared" si="510"/>
        <v>0</v>
      </c>
      <c r="BJ372" s="24">
        <f t="shared" si="511"/>
        <v>0</v>
      </c>
      <c r="BK372" s="26" t="s">
        <v>53</v>
      </c>
      <c r="BL372" s="24"/>
      <c r="BW372" s="24">
        <v>21</v>
      </c>
      <c r="BX372" s="4" t="s">
        <v>1023</v>
      </c>
    </row>
    <row r="373" spans="1:76" ht="14.4" x14ac:dyDescent="0.3">
      <c r="A373" s="2" t="s">
        <v>1024</v>
      </c>
      <c r="B373" s="3" t="s">
        <v>1025</v>
      </c>
      <c r="C373" s="82" t="s">
        <v>1026</v>
      </c>
      <c r="D373" s="81"/>
      <c r="E373" s="3" t="s">
        <v>174</v>
      </c>
      <c r="F373" s="24">
        <v>4</v>
      </c>
      <c r="G373" s="180">
        <v>0</v>
      </c>
      <c r="H373" s="24">
        <f t="shared" si="490"/>
        <v>0</v>
      </c>
      <c r="I373" s="24">
        <f t="shared" si="491"/>
        <v>0</v>
      </c>
      <c r="J373" s="24">
        <f t="shared" si="492"/>
        <v>0</v>
      </c>
      <c r="K373" s="25"/>
      <c r="Z373" s="24">
        <f t="shared" si="493"/>
        <v>0</v>
      </c>
      <c r="AB373" s="24">
        <f t="shared" si="494"/>
        <v>0</v>
      </c>
      <c r="AC373" s="24">
        <f t="shared" si="495"/>
        <v>0</v>
      </c>
      <c r="AD373" s="24">
        <f t="shared" si="496"/>
        <v>0</v>
      </c>
      <c r="AE373" s="24">
        <f t="shared" si="497"/>
        <v>0</v>
      </c>
      <c r="AF373" s="24">
        <f t="shared" si="498"/>
        <v>0</v>
      </c>
      <c r="AG373" s="24">
        <f t="shared" si="499"/>
        <v>0</v>
      </c>
      <c r="AH373" s="24">
        <f t="shared" si="500"/>
        <v>0</v>
      </c>
      <c r="AI373" s="10" t="s">
        <v>43</v>
      </c>
      <c r="AJ373" s="24">
        <f t="shared" si="501"/>
        <v>0</v>
      </c>
      <c r="AK373" s="24">
        <f t="shared" si="502"/>
        <v>0</v>
      </c>
      <c r="AL373" s="24">
        <f t="shared" si="503"/>
        <v>0</v>
      </c>
      <c r="AN373" s="24">
        <v>21</v>
      </c>
      <c r="AO373" s="24">
        <f>G373*0.751243781</f>
        <v>0</v>
      </c>
      <c r="AP373" s="24">
        <f>G373*(1-0.751243781)</f>
        <v>0</v>
      </c>
      <c r="AQ373" s="26" t="s">
        <v>46</v>
      </c>
      <c r="AV373" s="24">
        <f t="shared" si="504"/>
        <v>0</v>
      </c>
      <c r="AW373" s="24">
        <f t="shared" si="505"/>
        <v>0</v>
      </c>
      <c r="AX373" s="24">
        <f t="shared" si="506"/>
        <v>0</v>
      </c>
      <c r="AY373" s="26" t="s">
        <v>1017</v>
      </c>
      <c r="AZ373" s="26" t="s">
        <v>427</v>
      </c>
      <c r="BA373" s="10" t="s">
        <v>52</v>
      </c>
      <c r="BC373" s="24">
        <f t="shared" si="507"/>
        <v>0</v>
      </c>
      <c r="BD373" s="24">
        <f t="shared" si="508"/>
        <v>0</v>
      </c>
      <c r="BE373" s="24">
        <v>0</v>
      </c>
      <c r="BF373" s="24">
        <f>370</f>
        <v>370</v>
      </c>
      <c r="BH373" s="24">
        <f t="shared" si="509"/>
        <v>0</v>
      </c>
      <c r="BI373" s="24">
        <f t="shared" si="510"/>
        <v>0</v>
      </c>
      <c r="BJ373" s="24">
        <f t="shared" si="511"/>
        <v>0</v>
      </c>
      <c r="BK373" s="26" t="s">
        <v>53</v>
      </c>
      <c r="BL373" s="24"/>
      <c r="BW373" s="24">
        <v>21</v>
      </c>
      <c r="BX373" s="4" t="s">
        <v>1026</v>
      </c>
    </row>
    <row r="374" spans="1:76" ht="14.4" x14ac:dyDescent="0.3">
      <c r="A374" s="2" t="s">
        <v>1027</v>
      </c>
      <c r="B374" s="3" t="s">
        <v>1028</v>
      </c>
      <c r="C374" s="82" t="s">
        <v>1029</v>
      </c>
      <c r="D374" s="81"/>
      <c r="E374" s="3" t="s">
        <v>174</v>
      </c>
      <c r="F374" s="24">
        <v>4</v>
      </c>
      <c r="G374" s="180">
        <v>0</v>
      </c>
      <c r="H374" s="24">
        <f t="shared" si="490"/>
        <v>0</v>
      </c>
      <c r="I374" s="24">
        <f t="shared" si="491"/>
        <v>0</v>
      </c>
      <c r="J374" s="24">
        <f t="shared" si="492"/>
        <v>0</v>
      </c>
      <c r="K374" s="25"/>
      <c r="Z374" s="24">
        <f t="shared" si="493"/>
        <v>0</v>
      </c>
      <c r="AB374" s="24">
        <f t="shared" si="494"/>
        <v>0</v>
      </c>
      <c r="AC374" s="24">
        <f t="shared" si="495"/>
        <v>0</v>
      </c>
      <c r="AD374" s="24">
        <f t="shared" si="496"/>
        <v>0</v>
      </c>
      <c r="AE374" s="24">
        <f t="shared" si="497"/>
        <v>0</v>
      </c>
      <c r="AF374" s="24">
        <f t="shared" si="498"/>
        <v>0</v>
      </c>
      <c r="AG374" s="24">
        <f t="shared" si="499"/>
        <v>0</v>
      </c>
      <c r="AH374" s="24">
        <f t="shared" si="500"/>
        <v>0</v>
      </c>
      <c r="AI374" s="10" t="s">
        <v>43</v>
      </c>
      <c r="AJ374" s="24">
        <f t="shared" si="501"/>
        <v>0</v>
      </c>
      <c r="AK374" s="24">
        <f t="shared" si="502"/>
        <v>0</v>
      </c>
      <c r="AL374" s="24">
        <f t="shared" si="503"/>
        <v>0</v>
      </c>
      <c r="AN374" s="24">
        <v>21</v>
      </c>
      <c r="AO374" s="24">
        <f>G374*0</f>
        <v>0</v>
      </c>
      <c r="AP374" s="24">
        <f>G374*(1-0)</f>
        <v>0</v>
      </c>
      <c r="AQ374" s="26" t="s">
        <v>46</v>
      </c>
      <c r="AV374" s="24">
        <f t="shared" si="504"/>
        <v>0</v>
      </c>
      <c r="AW374" s="24">
        <f t="shared" si="505"/>
        <v>0</v>
      </c>
      <c r="AX374" s="24">
        <f t="shared" si="506"/>
        <v>0</v>
      </c>
      <c r="AY374" s="26" t="s">
        <v>1017</v>
      </c>
      <c r="AZ374" s="26" t="s">
        <v>427</v>
      </c>
      <c r="BA374" s="10" t="s">
        <v>52</v>
      </c>
      <c r="BC374" s="24">
        <f t="shared" si="507"/>
        <v>0</v>
      </c>
      <c r="BD374" s="24">
        <f t="shared" si="508"/>
        <v>0</v>
      </c>
      <c r="BE374" s="24">
        <v>0</v>
      </c>
      <c r="BF374" s="24">
        <f>371</f>
        <v>371</v>
      </c>
      <c r="BH374" s="24">
        <f t="shared" si="509"/>
        <v>0</v>
      </c>
      <c r="BI374" s="24">
        <f t="shared" si="510"/>
        <v>0</v>
      </c>
      <c r="BJ374" s="24">
        <f t="shared" si="511"/>
        <v>0</v>
      </c>
      <c r="BK374" s="26" t="s">
        <v>53</v>
      </c>
      <c r="BL374" s="24"/>
      <c r="BW374" s="24">
        <v>21</v>
      </c>
      <c r="BX374" s="4" t="s">
        <v>1029</v>
      </c>
    </row>
    <row r="375" spans="1:76" ht="14.4" x14ac:dyDescent="0.3">
      <c r="A375" s="2" t="s">
        <v>1030</v>
      </c>
      <c r="B375" s="3" t="s">
        <v>1031</v>
      </c>
      <c r="C375" s="82" t="s">
        <v>1032</v>
      </c>
      <c r="D375" s="81"/>
      <c r="E375" s="3" t="s">
        <v>174</v>
      </c>
      <c r="F375" s="24">
        <v>4</v>
      </c>
      <c r="G375" s="180">
        <v>0</v>
      </c>
      <c r="H375" s="24">
        <f t="shared" si="490"/>
        <v>0</v>
      </c>
      <c r="I375" s="24">
        <f t="shared" si="491"/>
        <v>0</v>
      </c>
      <c r="J375" s="24">
        <f t="shared" si="492"/>
        <v>0</v>
      </c>
      <c r="K375" s="25"/>
      <c r="Z375" s="24">
        <f t="shared" si="493"/>
        <v>0</v>
      </c>
      <c r="AB375" s="24">
        <f t="shared" si="494"/>
        <v>0</v>
      </c>
      <c r="AC375" s="24">
        <f t="shared" si="495"/>
        <v>0</v>
      </c>
      <c r="AD375" s="24">
        <f t="shared" si="496"/>
        <v>0</v>
      </c>
      <c r="AE375" s="24">
        <f t="shared" si="497"/>
        <v>0</v>
      </c>
      <c r="AF375" s="24">
        <f t="shared" si="498"/>
        <v>0</v>
      </c>
      <c r="AG375" s="24">
        <f t="shared" si="499"/>
        <v>0</v>
      </c>
      <c r="AH375" s="24">
        <f t="shared" si="500"/>
        <v>0</v>
      </c>
      <c r="AI375" s="10" t="s">
        <v>43</v>
      </c>
      <c r="AJ375" s="24">
        <f t="shared" si="501"/>
        <v>0</v>
      </c>
      <c r="AK375" s="24">
        <f t="shared" si="502"/>
        <v>0</v>
      </c>
      <c r="AL375" s="24">
        <f t="shared" si="503"/>
        <v>0</v>
      </c>
      <c r="AN375" s="24">
        <v>21</v>
      </c>
      <c r="AO375" s="24">
        <f>G375*0</f>
        <v>0</v>
      </c>
      <c r="AP375" s="24">
        <f>G375*(1-0)</f>
        <v>0</v>
      </c>
      <c r="AQ375" s="26" t="s">
        <v>46</v>
      </c>
      <c r="AV375" s="24">
        <f t="shared" si="504"/>
        <v>0</v>
      </c>
      <c r="AW375" s="24">
        <f t="shared" si="505"/>
        <v>0</v>
      </c>
      <c r="AX375" s="24">
        <f t="shared" si="506"/>
        <v>0</v>
      </c>
      <c r="AY375" s="26" t="s">
        <v>1017</v>
      </c>
      <c r="AZ375" s="26" t="s">
        <v>427</v>
      </c>
      <c r="BA375" s="10" t="s">
        <v>52</v>
      </c>
      <c r="BC375" s="24">
        <f t="shared" si="507"/>
        <v>0</v>
      </c>
      <c r="BD375" s="24">
        <f t="shared" si="508"/>
        <v>0</v>
      </c>
      <c r="BE375" s="24">
        <v>0</v>
      </c>
      <c r="BF375" s="24">
        <f>372</f>
        <v>372</v>
      </c>
      <c r="BH375" s="24">
        <f t="shared" si="509"/>
        <v>0</v>
      </c>
      <c r="BI375" s="24">
        <f t="shared" si="510"/>
        <v>0</v>
      </c>
      <c r="BJ375" s="24">
        <f t="shared" si="511"/>
        <v>0</v>
      </c>
      <c r="BK375" s="26" t="s">
        <v>53</v>
      </c>
      <c r="BL375" s="24"/>
      <c r="BW375" s="24">
        <v>21</v>
      </c>
      <c r="BX375" s="4" t="s">
        <v>1032</v>
      </c>
    </row>
    <row r="376" spans="1:76" ht="14.4" x14ac:dyDescent="0.3">
      <c r="A376" s="2" t="s">
        <v>1033</v>
      </c>
      <c r="B376" s="3" t="s">
        <v>1034</v>
      </c>
      <c r="C376" s="82" t="s">
        <v>1035</v>
      </c>
      <c r="D376" s="81"/>
      <c r="E376" s="3" t="s">
        <v>174</v>
      </c>
      <c r="F376" s="24">
        <v>4</v>
      </c>
      <c r="G376" s="180">
        <v>0</v>
      </c>
      <c r="H376" s="24">
        <f t="shared" si="490"/>
        <v>0</v>
      </c>
      <c r="I376" s="24">
        <f t="shared" si="491"/>
        <v>0</v>
      </c>
      <c r="J376" s="24">
        <f t="shared" si="492"/>
        <v>0</v>
      </c>
      <c r="K376" s="25"/>
      <c r="Z376" s="24">
        <f t="shared" si="493"/>
        <v>0</v>
      </c>
      <c r="AB376" s="24">
        <f t="shared" si="494"/>
        <v>0</v>
      </c>
      <c r="AC376" s="24">
        <f t="shared" si="495"/>
        <v>0</v>
      </c>
      <c r="AD376" s="24">
        <f t="shared" si="496"/>
        <v>0</v>
      </c>
      <c r="AE376" s="24">
        <f t="shared" si="497"/>
        <v>0</v>
      </c>
      <c r="AF376" s="24">
        <f t="shared" si="498"/>
        <v>0</v>
      </c>
      <c r="AG376" s="24">
        <f t="shared" si="499"/>
        <v>0</v>
      </c>
      <c r="AH376" s="24">
        <f t="shared" si="500"/>
        <v>0</v>
      </c>
      <c r="AI376" s="10" t="s">
        <v>43</v>
      </c>
      <c r="AJ376" s="24">
        <f t="shared" si="501"/>
        <v>0</v>
      </c>
      <c r="AK376" s="24">
        <f t="shared" si="502"/>
        <v>0</v>
      </c>
      <c r="AL376" s="24">
        <f t="shared" si="503"/>
        <v>0</v>
      </c>
      <c r="AN376" s="24">
        <v>21</v>
      </c>
      <c r="AO376" s="24">
        <f>G376*0</f>
        <v>0</v>
      </c>
      <c r="AP376" s="24">
        <f>G376*(1-0)</f>
        <v>0</v>
      </c>
      <c r="AQ376" s="26" t="s">
        <v>46</v>
      </c>
      <c r="AV376" s="24">
        <f t="shared" si="504"/>
        <v>0</v>
      </c>
      <c r="AW376" s="24">
        <f t="shared" si="505"/>
        <v>0</v>
      </c>
      <c r="AX376" s="24">
        <f t="shared" si="506"/>
        <v>0</v>
      </c>
      <c r="AY376" s="26" t="s">
        <v>1017</v>
      </c>
      <c r="AZ376" s="26" t="s">
        <v>427</v>
      </c>
      <c r="BA376" s="10" t="s">
        <v>52</v>
      </c>
      <c r="BC376" s="24">
        <f t="shared" si="507"/>
        <v>0</v>
      </c>
      <c r="BD376" s="24">
        <f t="shared" si="508"/>
        <v>0</v>
      </c>
      <c r="BE376" s="24">
        <v>0</v>
      </c>
      <c r="BF376" s="24">
        <f>373</f>
        <v>373</v>
      </c>
      <c r="BH376" s="24">
        <f t="shared" si="509"/>
        <v>0</v>
      </c>
      <c r="BI376" s="24">
        <f t="shared" si="510"/>
        <v>0</v>
      </c>
      <c r="BJ376" s="24">
        <f t="shared" si="511"/>
        <v>0</v>
      </c>
      <c r="BK376" s="26" t="s">
        <v>53</v>
      </c>
      <c r="BL376" s="24"/>
      <c r="BW376" s="24">
        <v>21</v>
      </c>
      <c r="BX376" s="4" t="s">
        <v>1035</v>
      </c>
    </row>
    <row r="377" spans="1:76" ht="14.4" x14ac:dyDescent="0.3">
      <c r="A377" s="2" t="s">
        <v>1036</v>
      </c>
      <c r="B377" s="3" t="s">
        <v>1037</v>
      </c>
      <c r="C377" s="82" t="s">
        <v>1038</v>
      </c>
      <c r="D377" s="81"/>
      <c r="E377" s="3" t="s">
        <v>1039</v>
      </c>
      <c r="F377" s="24">
        <v>2</v>
      </c>
      <c r="G377" s="180">
        <v>0</v>
      </c>
      <c r="H377" s="24">
        <f t="shared" si="490"/>
        <v>0</v>
      </c>
      <c r="I377" s="24">
        <f t="shared" si="491"/>
        <v>0</v>
      </c>
      <c r="J377" s="24">
        <f t="shared" si="492"/>
        <v>0</v>
      </c>
      <c r="K377" s="25"/>
      <c r="Z377" s="24">
        <f t="shared" si="493"/>
        <v>0</v>
      </c>
      <c r="AB377" s="24">
        <f t="shared" si="494"/>
        <v>0</v>
      </c>
      <c r="AC377" s="24">
        <f t="shared" si="495"/>
        <v>0</v>
      </c>
      <c r="AD377" s="24">
        <f t="shared" si="496"/>
        <v>0</v>
      </c>
      <c r="AE377" s="24">
        <f t="shared" si="497"/>
        <v>0</v>
      </c>
      <c r="AF377" s="24">
        <f t="shared" si="498"/>
        <v>0</v>
      </c>
      <c r="AG377" s="24">
        <f t="shared" si="499"/>
        <v>0</v>
      </c>
      <c r="AH377" s="24">
        <f t="shared" si="500"/>
        <v>0</v>
      </c>
      <c r="AI377" s="10" t="s">
        <v>43</v>
      </c>
      <c r="AJ377" s="24">
        <f t="shared" si="501"/>
        <v>0</v>
      </c>
      <c r="AK377" s="24">
        <f t="shared" si="502"/>
        <v>0</v>
      </c>
      <c r="AL377" s="24">
        <f t="shared" si="503"/>
        <v>0</v>
      </c>
      <c r="AN377" s="24">
        <v>21</v>
      </c>
      <c r="AO377" s="24">
        <f>G377*0</f>
        <v>0</v>
      </c>
      <c r="AP377" s="24">
        <f>G377*(1-0)</f>
        <v>0</v>
      </c>
      <c r="AQ377" s="26" t="s">
        <v>46</v>
      </c>
      <c r="AV377" s="24">
        <f t="shared" si="504"/>
        <v>0</v>
      </c>
      <c r="AW377" s="24">
        <f t="shared" si="505"/>
        <v>0</v>
      </c>
      <c r="AX377" s="24">
        <f t="shared" si="506"/>
        <v>0</v>
      </c>
      <c r="AY377" s="26" t="s">
        <v>1017</v>
      </c>
      <c r="AZ377" s="26" t="s">
        <v>427</v>
      </c>
      <c r="BA377" s="10" t="s">
        <v>52</v>
      </c>
      <c r="BC377" s="24">
        <f t="shared" si="507"/>
        <v>0</v>
      </c>
      <c r="BD377" s="24">
        <f t="shared" si="508"/>
        <v>0</v>
      </c>
      <c r="BE377" s="24">
        <v>0</v>
      </c>
      <c r="BF377" s="24">
        <f>374</f>
        <v>374</v>
      </c>
      <c r="BH377" s="24">
        <f t="shared" si="509"/>
        <v>0</v>
      </c>
      <c r="BI377" s="24">
        <f t="shared" si="510"/>
        <v>0</v>
      </c>
      <c r="BJ377" s="24">
        <f t="shared" si="511"/>
        <v>0</v>
      </c>
      <c r="BK377" s="26" t="s">
        <v>53</v>
      </c>
      <c r="BL377" s="24"/>
      <c r="BW377" s="24">
        <v>21</v>
      </c>
      <c r="BX377" s="4" t="s">
        <v>1038</v>
      </c>
    </row>
    <row r="378" spans="1:76" ht="14.4" x14ac:dyDescent="0.3">
      <c r="A378" s="2" t="s">
        <v>1040</v>
      </c>
      <c r="B378" s="3" t="s">
        <v>1041</v>
      </c>
      <c r="C378" s="82" t="s">
        <v>1042</v>
      </c>
      <c r="D378" s="81"/>
      <c r="E378" s="3" t="s">
        <v>91</v>
      </c>
      <c r="F378" s="24">
        <v>180</v>
      </c>
      <c r="G378" s="180">
        <v>0</v>
      </c>
      <c r="H378" s="24">
        <f t="shared" si="490"/>
        <v>0</v>
      </c>
      <c r="I378" s="24">
        <f t="shared" si="491"/>
        <v>0</v>
      </c>
      <c r="J378" s="24">
        <f t="shared" si="492"/>
        <v>0</v>
      </c>
      <c r="K378" s="25"/>
      <c r="Z378" s="24">
        <f t="shared" si="493"/>
        <v>0</v>
      </c>
      <c r="AB378" s="24">
        <f t="shared" si="494"/>
        <v>0</v>
      </c>
      <c r="AC378" s="24">
        <f t="shared" si="495"/>
        <v>0</v>
      </c>
      <c r="AD378" s="24">
        <f t="shared" si="496"/>
        <v>0</v>
      </c>
      <c r="AE378" s="24">
        <f t="shared" si="497"/>
        <v>0</v>
      </c>
      <c r="AF378" s="24">
        <f t="shared" si="498"/>
        <v>0</v>
      </c>
      <c r="AG378" s="24">
        <f t="shared" si="499"/>
        <v>0</v>
      </c>
      <c r="AH378" s="24">
        <f t="shared" si="500"/>
        <v>0</v>
      </c>
      <c r="AI378" s="10" t="s">
        <v>43</v>
      </c>
      <c r="AJ378" s="24">
        <f t="shared" si="501"/>
        <v>0</v>
      </c>
      <c r="AK378" s="24">
        <f t="shared" si="502"/>
        <v>0</v>
      </c>
      <c r="AL378" s="24">
        <f t="shared" si="503"/>
        <v>0</v>
      </c>
      <c r="AN378" s="24">
        <v>21</v>
      </c>
      <c r="AO378" s="24">
        <f>G378*0</f>
        <v>0</v>
      </c>
      <c r="AP378" s="24">
        <f>G378*(1-0)</f>
        <v>0</v>
      </c>
      <c r="AQ378" s="26" t="s">
        <v>46</v>
      </c>
      <c r="AV378" s="24">
        <f t="shared" si="504"/>
        <v>0</v>
      </c>
      <c r="AW378" s="24">
        <f t="shared" si="505"/>
        <v>0</v>
      </c>
      <c r="AX378" s="24">
        <f t="shared" si="506"/>
        <v>0</v>
      </c>
      <c r="AY378" s="26" t="s">
        <v>1017</v>
      </c>
      <c r="AZ378" s="26" t="s">
        <v>427</v>
      </c>
      <c r="BA378" s="10" t="s">
        <v>52</v>
      </c>
      <c r="BC378" s="24">
        <f t="shared" si="507"/>
        <v>0</v>
      </c>
      <c r="BD378" s="24">
        <f t="shared" si="508"/>
        <v>0</v>
      </c>
      <c r="BE378" s="24">
        <v>0</v>
      </c>
      <c r="BF378" s="24">
        <f>375</f>
        <v>375</v>
      </c>
      <c r="BH378" s="24">
        <f t="shared" si="509"/>
        <v>0</v>
      </c>
      <c r="BI378" s="24">
        <f t="shared" si="510"/>
        <v>0</v>
      </c>
      <c r="BJ378" s="24">
        <f t="shared" si="511"/>
        <v>0</v>
      </c>
      <c r="BK378" s="26" t="s">
        <v>53</v>
      </c>
      <c r="BL378" s="24"/>
      <c r="BW378" s="24">
        <v>21</v>
      </c>
      <c r="BX378" s="4" t="s">
        <v>1042</v>
      </c>
    </row>
    <row r="379" spans="1:76" ht="14.4" x14ac:dyDescent="0.3">
      <c r="A379" s="27" t="s">
        <v>43</v>
      </c>
      <c r="B379" s="28" t="s">
        <v>1043</v>
      </c>
      <c r="C379" s="98" t="s">
        <v>1044</v>
      </c>
      <c r="D379" s="99"/>
      <c r="E379" s="29" t="s">
        <v>3</v>
      </c>
      <c r="F379" s="29" t="s">
        <v>3</v>
      </c>
      <c r="G379" s="29" t="s">
        <v>3</v>
      </c>
      <c r="H379" s="1">
        <f>ROUND(SUM(H380:H390),2)</f>
        <v>0</v>
      </c>
      <c r="I379" s="1">
        <f>ROUND(SUM(I380:I390),2)</f>
        <v>0</v>
      </c>
      <c r="J379" s="1">
        <f>ROUND(SUM(J380:J390),2)</f>
        <v>0</v>
      </c>
      <c r="K379" s="30"/>
      <c r="AI379" s="10" t="s">
        <v>43</v>
      </c>
      <c r="AS379" s="1">
        <f>SUM(AJ380:AJ390)</f>
        <v>0</v>
      </c>
      <c r="AT379" s="1">
        <f>SUM(AK380:AK390)</f>
        <v>0</v>
      </c>
      <c r="AU379" s="1">
        <f>SUM(AL380:AL390)</f>
        <v>0</v>
      </c>
    </row>
    <row r="380" spans="1:76" ht="14.4" x14ac:dyDescent="0.3">
      <c r="A380" s="2" t="s">
        <v>1045</v>
      </c>
      <c r="B380" s="3" t="s">
        <v>1046</v>
      </c>
      <c r="C380" s="82" t="s">
        <v>1047</v>
      </c>
      <c r="D380" s="81"/>
      <c r="E380" s="3" t="s">
        <v>174</v>
      </c>
      <c r="F380" s="24">
        <v>1</v>
      </c>
      <c r="G380" s="180">
        <v>0</v>
      </c>
      <c r="H380" s="24">
        <f t="shared" ref="H380:H390" si="512">ROUND(F380*AO380,2)</f>
        <v>0</v>
      </c>
      <c r="I380" s="24">
        <f t="shared" ref="I380:I390" si="513">ROUND(F380*AP380,2)</f>
        <v>0</v>
      </c>
      <c r="J380" s="24">
        <f t="shared" ref="J380:J390" si="514">ROUND(F380*G380,2)</f>
        <v>0</v>
      </c>
      <c r="K380" s="25"/>
      <c r="Z380" s="24">
        <f t="shared" ref="Z380:Z390" si="515">ROUND(IF(AQ380="5",BJ380,0),2)</f>
        <v>0</v>
      </c>
      <c r="AB380" s="24">
        <f t="shared" ref="AB380:AB390" si="516">ROUND(IF(AQ380="1",BH380,0),2)</f>
        <v>0</v>
      </c>
      <c r="AC380" s="24">
        <f t="shared" ref="AC380:AC390" si="517">ROUND(IF(AQ380="1",BI380,0),2)</f>
        <v>0</v>
      </c>
      <c r="AD380" s="24">
        <f t="shared" ref="AD380:AD390" si="518">ROUND(IF(AQ380="7",BH380,0),2)</f>
        <v>0</v>
      </c>
      <c r="AE380" s="24">
        <f t="shared" ref="AE380:AE390" si="519">ROUND(IF(AQ380="7",BI380,0),2)</f>
        <v>0</v>
      </c>
      <c r="AF380" s="24">
        <f t="shared" ref="AF380:AF390" si="520">ROUND(IF(AQ380="2",BH380,0),2)</f>
        <v>0</v>
      </c>
      <c r="AG380" s="24">
        <f t="shared" ref="AG380:AG390" si="521">ROUND(IF(AQ380="2",BI380,0),2)</f>
        <v>0</v>
      </c>
      <c r="AH380" s="24">
        <f t="shared" ref="AH380:AH390" si="522">ROUND(IF(AQ380="0",BJ380,0),2)</f>
        <v>0</v>
      </c>
      <c r="AI380" s="10" t="s">
        <v>43</v>
      </c>
      <c r="AJ380" s="24">
        <f t="shared" ref="AJ380:AJ390" si="523">IF(AN380=0,J380,0)</f>
        <v>0</v>
      </c>
      <c r="AK380" s="24">
        <f t="shared" ref="AK380:AK390" si="524">IF(AN380=12,J380,0)</f>
        <v>0</v>
      </c>
      <c r="AL380" s="24">
        <f t="shared" ref="AL380:AL390" si="525">IF(AN380=21,J380,0)</f>
        <v>0</v>
      </c>
      <c r="AN380" s="24">
        <v>21</v>
      </c>
      <c r="AO380" s="24">
        <f>G380*0.896313364</f>
        <v>0</v>
      </c>
      <c r="AP380" s="24">
        <f>G380*(1-0.896313364)</f>
        <v>0</v>
      </c>
      <c r="AQ380" s="26" t="s">
        <v>46</v>
      </c>
      <c r="AV380" s="24">
        <f t="shared" ref="AV380:AV390" si="526">ROUND(AW380+AX380,2)</f>
        <v>0</v>
      </c>
      <c r="AW380" s="24">
        <f t="shared" ref="AW380:AW390" si="527">ROUND(F380*AO380,2)</f>
        <v>0</v>
      </c>
      <c r="AX380" s="24">
        <f t="shared" ref="AX380:AX390" si="528">ROUND(F380*AP380,2)</f>
        <v>0</v>
      </c>
      <c r="AY380" s="26" t="s">
        <v>1048</v>
      </c>
      <c r="AZ380" s="26" t="s">
        <v>427</v>
      </c>
      <c r="BA380" s="10" t="s">
        <v>52</v>
      </c>
      <c r="BC380" s="24">
        <f t="shared" ref="BC380:BC390" si="529">AW380+AX380</f>
        <v>0</v>
      </c>
      <c r="BD380" s="24">
        <f t="shared" ref="BD380:BD390" si="530">G380/(100-BE380)*100</f>
        <v>0</v>
      </c>
      <c r="BE380" s="24">
        <v>0</v>
      </c>
      <c r="BF380" s="24">
        <f>377</f>
        <v>377</v>
      </c>
      <c r="BH380" s="24">
        <f t="shared" ref="BH380:BH390" si="531">F380*AO380</f>
        <v>0</v>
      </c>
      <c r="BI380" s="24">
        <f t="shared" ref="BI380:BI390" si="532">F380*AP380</f>
        <v>0</v>
      </c>
      <c r="BJ380" s="24">
        <f t="shared" ref="BJ380:BJ390" si="533">F380*G380</f>
        <v>0</v>
      </c>
      <c r="BK380" s="26" t="s">
        <v>53</v>
      </c>
      <c r="BL380" s="24"/>
      <c r="BW380" s="24">
        <v>21</v>
      </c>
      <c r="BX380" s="4" t="s">
        <v>1047</v>
      </c>
    </row>
    <row r="381" spans="1:76" ht="14.4" x14ac:dyDescent="0.3">
      <c r="A381" s="2" t="s">
        <v>1049</v>
      </c>
      <c r="B381" s="3" t="s">
        <v>1050</v>
      </c>
      <c r="C381" s="82" t="s">
        <v>1051</v>
      </c>
      <c r="D381" s="81"/>
      <c r="E381" s="3" t="s">
        <v>174</v>
      </c>
      <c r="F381" s="24">
        <v>1</v>
      </c>
      <c r="G381" s="180">
        <v>0</v>
      </c>
      <c r="H381" s="24">
        <f t="shared" si="512"/>
        <v>0</v>
      </c>
      <c r="I381" s="24">
        <f t="shared" si="513"/>
        <v>0</v>
      </c>
      <c r="J381" s="24">
        <f t="shared" si="514"/>
        <v>0</v>
      </c>
      <c r="K381" s="25"/>
      <c r="Z381" s="24">
        <f t="shared" si="515"/>
        <v>0</v>
      </c>
      <c r="AB381" s="24">
        <f t="shared" si="516"/>
        <v>0</v>
      </c>
      <c r="AC381" s="24">
        <f t="shared" si="517"/>
        <v>0</v>
      </c>
      <c r="AD381" s="24">
        <f t="shared" si="518"/>
        <v>0</v>
      </c>
      <c r="AE381" s="24">
        <f t="shared" si="519"/>
        <v>0</v>
      </c>
      <c r="AF381" s="24">
        <f t="shared" si="520"/>
        <v>0</v>
      </c>
      <c r="AG381" s="24">
        <f t="shared" si="521"/>
        <v>0</v>
      </c>
      <c r="AH381" s="24">
        <f t="shared" si="522"/>
        <v>0</v>
      </c>
      <c r="AI381" s="10" t="s">
        <v>43</v>
      </c>
      <c r="AJ381" s="24">
        <f t="shared" si="523"/>
        <v>0</v>
      </c>
      <c r="AK381" s="24">
        <f t="shared" si="524"/>
        <v>0</v>
      </c>
      <c r="AL381" s="24">
        <f t="shared" si="525"/>
        <v>0</v>
      </c>
      <c r="AN381" s="24">
        <v>21</v>
      </c>
      <c r="AO381" s="24">
        <f>G381*0.642160052</f>
        <v>0</v>
      </c>
      <c r="AP381" s="24">
        <f>G381*(1-0.642160052)</f>
        <v>0</v>
      </c>
      <c r="AQ381" s="26" t="s">
        <v>46</v>
      </c>
      <c r="AV381" s="24">
        <f t="shared" si="526"/>
        <v>0</v>
      </c>
      <c r="AW381" s="24">
        <f t="shared" si="527"/>
        <v>0</v>
      </c>
      <c r="AX381" s="24">
        <f t="shared" si="528"/>
        <v>0</v>
      </c>
      <c r="AY381" s="26" t="s">
        <v>1048</v>
      </c>
      <c r="AZ381" s="26" t="s">
        <v>427</v>
      </c>
      <c r="BA381" s="10" t="s">
        <v>52</v>
      </c>
      <c r="BC381" s="24">
        <f t="shared" si="529"/>
        <v>0</v>
      </c>
      <c r="BD381" s="24">
        <f t="shared" si="530"/>
        <v>0</v>
      </c>
      <c r="BE381" s="24">
        <v>0</v>
      </c>
      <c r="BF381" s="24">
        <f>378</f>
        <v>378</v>
      </c>
      <c r="BH381" s="24">
        <f t="shared" si="531"/>
        <v>0</v>
      </c>
      <c r="BI381" s="24">
        <f t="shared" si="532"/>
        <v>0</v>
      </c>
      <c r="BJ381" s="24">
        <f t="shared" si="533"/>
        <v>0</v>
      </c>
      <c r="BK381" s="26" t="s">
        <v>53</v>
      </c>
      <c r="BL381" s="24"/>
      <c r="BW381" s="24">
        <v>21</v>
      </c>
      <c r="BX381" s="4" t="s">
        <v>1051</v>
      </c>
    </row>
    <row r="382" spans="1:76" ht="14.4" x14ac:dyDescent="0.3">
      <c r="A382" s="2" t="s">
        <v>1052</v>
      </c>
      <c r="B382" s="3" t="s">
        <v>1053</v>
      </c>
      <c r="C382" s="82" t="s">
        <v>1054</v>
      </c>
      <c r="D382" s="81"/>
      <c r="E382" s="3" t="s">
        <v>174</v>
      </c>
      <c r="F382" s="24">
        <v>2</v>
      </c>
      <c r="G382" s="180">
        <v>0</v>
      </c>
      <c r="H382" s="24">
        <f t="shared" si="512"/>
        <v>0</v>
      </c>
      <c r="I382" s="24">
        <f t="shared" si="513"/>
        <v>0</v>
      </c>
      <c r="J382" s="24">
        <f t="shared" si="514"/>
        <v>0</v>
      </c>
      <c r="K382" s="25"/>
      <c r="Z382" s="24">
        <f t="shared" si="515"/>
        <v>0</v>
      </c>
      <c r="AB382" s="24">
        <f t="shared" si="516"/>
        <v>0</v>
      </c>
      <c r="AC382" s="24">
        <f t="shared" si="517"/>
        <v>0</v>
      </c>
      <c r="AD382" s="24">
        <f t="shared" si="518"/>
        <v>0</v>
      </c>
      <c r="AE382" s="24">
        <f t="shared" si="519"/>
        <v>0</v>
      </c>
      <c r="AF382" s="24">
        <f t="shared" si="520"/>
        <v>0</v>
      </c>
      <c r="AG382" s="24">
        <f t="shared" si="521"/>
        <v>0</v>
      </c>
      <c r="AH382" s="24">
        <f t="shared" si="522"/>
        <v>0</v>
      </c>
      <c r="AI382" s="10" t="s">
        <v>43</v>
      </c>
      <c r="AJ382" s="24">
        <f t="shared" si="523"/>
        <v>0</v>
      </c>
      <c r="AK382" s="24">
        <f t="shared" si="524"/>
        <v>0</v>
      </c>
      <c r="AL382" s="24">
        <f t="shared" si="525"/>
        <v>0</v>
      </c>
      <c r="AN382" s="24">
        <v>21</v>
      </c>
      <c r="AO382" s="24">
        <f>G382*0.537190083</f>
        <v>0</v>
      </c>
      <c r="AP382" s="24">
        <f>G382*(1-0.537190083)</f>
        <v>0</v>
      </c>
      <c r="AQ382" s="26" t="s">
        <v>46</v>
      </c>
      <c r="AV382" s="24">
        <f t="shared" si="526"/>
        <v>0</v>
      </c>
      <c r="AW382" s="24">
        <f t="shared" si="527"/>
        <v>0</v>
      </c>
      <c r="AX382" s="24">
        <f t="shared" si="528"/>
        <v>0</v>
      </c>
      <c r="AY382" s="26" t="s">
        <v>1048</v>
      </c>
      <c r="AZ382" s="26" t="s">
        <v>427</v>
      </c>
      <c r="BA382" s="10" t="s">
        <v>52</v>
      </c>
      <c r="BC382" s="24">
        <f t="shared" si="529"/>
        <v>0</v>
      </c>
      <c r="BD382" s="24">
        <f t="shared" si="530"/>
        <v>0</v>
      </c>
      <c r="BE382" s="24">
        <v>0</v>
      </c>
      <c r="BF382" s="24">
        <f>379</f>
        <v>379</v>
      </c>
      <c r="BH382" s="24">
        <f t="shared" si="531"/>
        <v>0</v>
      </c>
      <c r="BI382" s="24">
        <f t="shared" si="532"/>
        <v>0</v>
      </c>
      <c r="BJ382" s="24">
        <f t="shared" si="533"/>
        <v>0</v>
      </c>
      <c r="BK382" s="26" t="s">
        <v>53</v>
      </c>
      <c r="BL382" s="24"/>
      <c r="BW382" s="24">
        <v>21</v>
      </c>
      <c r="BX382" s="4" t="s">
        <v>1054</v>
      </c>
    </row>
    <row r="383" spans="1:76" ht="14.4" x14ac:dyDescent="0.3">
      <c r="A383" s="2" t="s">
        <v>1055</v>
      </c>
      <c r="B383" s="3" t="s">
        <v>1056</v>
      </c>
      <c r="C383" s="82" t="s">
        <v>1057</v>
      </c>
      <c r="D383" s="81"/>
      <c r="E383" s="3" t="s">
        <v>174</v>
      </c>
      <c r="F383" s="24">
        <v>2</v>
      </c>
      <c r="G383" s="180">
        <v>0</v>
      </c>
      <c r="H383" s="24">
        <f t="shared" si="512"/>
        <v>0</v>
      </c>
      <c r="I383" s="24">
        <f t="shared" si="513"/>
        <v>0</v>
      </c>
      <c r="J383" s="24">
        <f t="shared" si="514"/>
        <v>0</v>
      </c>
      <c r="K383" s="25"/>
      <c r="Z383" s="24">
        <f t="shared" si="515"/>
        <v>0</v>
      </c>
      <c r="AB383" s="24">
        <f t="shared" si="516"/>
        <v>0</v>
      </c>
      <c r="AC383" s="24">
        <f t="shared" si="517"/>
        <v>0</v>
      </c>
      <c r="AD383" s="24">
        <f t="shared" si="518"/>
        <v>0</v>
      </c>
      <c r="AE383" s="24">
        <f t="shared" si="519"/>
        <v>0</v>
      </c>
      <c r="AF383" s="24">
        <f t="shared" si="520"/>
        <v>0</v>
      </c>
      <c r="AG383" s="24">
        <f t="shared" si="521"/>
        <v>0</v>
      </c>
      <c r="AH383" s="24">
        <f t="shared" si="522"/>
        <v>0</v>
      </c>
      <c r="AI383" s="10" t="s">
        <v>43</v>
      </c>
      <c r="AJ383" s="24">
        <f t="shared" si="523"/>
        <v>0</v>
      </c>
      <c r="AK383" s="24">
        <f t="shared" si="524"/>
        <v>0</v>
      </c>
      <c r="AL383" s="24">
        <f t="shared" si="525"/>
        <v>0</v>
      </c>
      <c r="AN383" s="24">
        <v>21</v>
      </c>
      <c r="AO383" s="24">
        <f>G383*0.787404923</f>
        <v>0</v>
      </c>
      <c r="AP383" s="24">
        <f>G383*(1-0.787404923)</f>
        <v>0</v>
      </c>
      <c r="AQ383" s="26" t="s">
        <v>46</v>
      </c>
      <c r="AV383" s="24">
        <f t="shared" si="526"/>
        <v>0</v>
      </c>
      <c r="AW383" s="24">
        <f t="shared" si="527"/>
        <v>0</v>
      </c>
      <c r="AX383" s="24">
        <f t="shared" si="528"/>
        <v>0</v>
      </c>
      <c r="AY383" s="26" t="s">
        <v>1048</v>
      </c>
      <c r="AZ383" s="26" t="s">
        <v>427</v>
      </c>
      <c r="BA383" s="10" t="s">
        <v>52</v>
      </c>
      <c r="BC383" s="24">
        <f t="shared" si="529"/>
        <v>0</v>
      </c>
      <c r="BD383" s="24">
        <f t="shared" si="530"/>
        <v>0</v>
      </c>
      <c r="BE383" s="24">
        <v>0</v>
      </c>
      <c r="BF383" s="24">
        <f>380</f>
        <v>380</v>
      </c>
      <c r="BH383" s="24">
        <f t="shared" si="531"/>
        <v>0</v>
      </c>
      <c r="BI383" s="24">
        <f t="shared" si="532"/>
        <v>0</v>
      </c>
      <c r="BJ383" s="24">
        <f t="shared" si="533"/>
        <v>0</v>
      </c>
      <c r="BK383" s="26" t="s">
        <v>53</v>
      </c>
      <c r="BL383" s="24"/>
      <c r="BW383" s="24">
        <v>21</v>
      </c>
      <c r="BX383" s="4" t="s">
        <v>1057</v>
      </c>
    </row>
    <row r="384" spans="1:76" ht="14.4" x14ac:dyDescent="0.3">
      <c r="A384" s="2" t="s">
        <v>1058</v>
      </c>
      <c r="B384" s="3" t="s">
        <v>1059</v>
      </c>
      <c r="C384" s="82" t="s">
        <v>1060</v>
      </c>
      <c r="D384" s="81"/>
      <c r="E384" s="3" t="s">
        <v>1061</v>
      </c>
      <c r="F384" s="24">
        <v>1</v>
      </c>
      <c r="G384" s="180">
        <v>0</v>
      </c>
      <c r="H384" s="24">
        <f t="shared" si="512"/>
        <v>0</v>
      </c>
      <c r="I384" s="24">
        <f t="shared" si="513"/>
        <v>0</v>
      </c>
      <c r="J384" s="24">
        <f t="shared" si="514"/>
        <v>0</v>
      </c>
      <c r="K384" s="25"/>
      <c r="Z384" s="24">
        <f t="shared" si="515"/>
        <v>0</v>
      </c>
      <c r="AB384" s="24">
        <f t="shared" si="516"/>
        <v>0</v>
      </c>
      <c r="AC384" s="24">
        <f t="shared" si="517"/>
        <v>0</v>
      </c>
      <c r="AD384" s="24">
        <f t="shared" si="518"/>
        <v>0</v>
      </c>
      <c r="AE384" s="24">
        <f t="shared" si="519"/>
        <v>0</v>
      </c>
      <c r="AF384" s="24">
        <f t="shared" si="520"/>
        <v>0</v>
      </c>
      <c r="AG384" s="24">
        <f t="shared" si="521"/>
        <v>0</v>
      </c>
      <c r="AH384" s="24">
        <f t="shared" si="522"/>
        <v>0</v>
      </c>
      <c r="AI384" s="10" t="s">
        <v>43</v>
      </c>
      <c r="AJ384" s="24">
        <f t="shared" si="523"/>
        <v>0</v>
      </c>
      <c r="AK384" s="24">
        <f t="shared" si="524"/>
        <v>0</v>
      </c>
      <c r="AL384" s="24">
        <f t="shared" si="525"/>
        <v>0</v>
      </c>
      <c r="AN384" s="24">
        <v>21</v>
      </c>
      <c r="AO384" s="24">
        <f>G384*0.5</f>
        <v>0</v>
      </c>
      <c r="AP384" s="24">
        <f>G384*(1-0.5)</f>
        <v>0</v>
      </c>
      <c r="AQ384" s="26" t="s">
        <v>46</v>
      </c>
      <c r="AV384" s="24">
        <f t="shared" si="526"/>
        <v>0</v>
      </c>
      <c r="AW384" s="24">
        <f t="shared" si="527"/>
        <v>0</v>
      </c>
      <c r="AX384" s="24">
        <f t="shared" si="528"/>
        <v>0</v>
      </c>
      <c r="AY384" s="26" t="s">
        <v>1048</v>
      </c>
      <c r="AZ384" s="26" t="s">
        <v>427</v>
      </c>
      <c r="BA384" s="10" t="s">
        <v>52</v>
      </c>
      <c r="BC384" s="24">
        <f t="shared" si="529"/>
        <v>0</v>
      </c>
      <c r="BD384" s="24">
        <f t="shared" si="530"/>
        <v>0</v>
      </c>
      <c r="BE384" s="24">
        <v>0</v>
      </c>
      <c r="BF384" s="24">
        <f>381</f>
        <v>381</v>
      </c>
      <c r="BH384" s="24">
        <f t="shared" si="531"/>
        <v>0</v>
      </c>
      <c r="BI384" s="24">
        <f t="shared" si="532"/>
        <v>0</v>
      </c>
      <c r="BJ384" s="24">
        <f t="shared" si="533"/>
        <v>0</v>
      </c>
      <c r="BK384" s="26" t="s">
        <v>53</v>
      </c>
      <c r="BL384" s="24"/>
      <c r="BW384" s="24">
        <v>21</v>
      </c>
      <c r="BX384" s="4" t="s">
        <v>1060</v>
      </c>
    </row>
    <row r="385" spans="1:76" ht="14.4" x14ac:dyDescent="0.3">
      <c r="A385" s="2" t="s">
        <v>1062</v>
      </c>
      <c r="B385" s="3" t="s">
        <v>1063</v>
      </c>
      <c r="C385" s="82" t="s">
        <v>1064</v>
      </c>
      <c r="D385" s="81"/>
      <c r="E385" s="3" t="s">
        <v>91</v>
      </c>
      <c r="F385" s="24">
        <v>130</v>
      </c>
      <c r="G385" s="180">
        <v>0</v>
      </c>
      <c r="H385" s="24">
        <f t="shared" si="512"/>
        <v>0</v>
      </c>
      <c r="I385" s="24">
        <f t="shared" si="513"/>
        <v>0</v>
      </c>
      <c r="J385" s="24">
        <f t="shared" si="514"/>
        <v>0</v>
      </c>
      <c r="K385" s="25"/>
      <c r="Z385" s="24">
        <f t="shared" si="515"/>
        <v>0</v>
      </c>
      <c r="AB385" s="24">
        <f t="shared" si="516"/>
        <v>0</v>
      </c>
      <c r="AC385" s="24">
        <f t="shared" si="517"/>
        <v>0</v>
      </c>
      <c r="AD385" s="24">
        <f t="shared" si="518"/>
        <v>0</v>
      </c>
      <c r="AE385" s="24">
        <f t="shared" si="519"/>
        <v>0</v>
      </c>
      <c r="AF385" s="24">
        <f t="shared" si="520"/>
        <v>0</v>
      </c>
      <c r="AG385" s="24">
        <f t="shared" si="521"/>
        <v>0</v>
      </c>
      <c r="AH385" s="24">
        <f t="shared" si="522"/>
        <v>0</v>
      </c>
      <c r="AI385" s="10" t="s">
        <v>43</v>
      </c>
      <c r="AJ385" s="24">
        <f t="shared" si="523"/>
        <v>0</v>
      </c>
      <c r="AK385" s="24">
        <f t="shared" si="524"/>
        <v>0</v>
      </c>
      <c r="AL385" s="24">
        <f t="shared" si="525"/>
        <v>0</v>
      </c>
      <c r="AN385" s="24">
        <v>21</v>
      </c>
      <c r="AO385" s="24">
        <f>G385*0.45</f>
        <v>0</v>
      </c>
      <c r="AP385" s="24">
        <f>G385*(1-0.45)</f>
        <v>0</v>
      </c>
      <c r="AQ385" s="26" t="s">
        <v>46</v>
      </c>
      <c r="AV385" s="24">
        <f t="shared" si="526"/>
        <v>0</v>
      </c>
      <c r="AW385" s="24">
        <f t="shared" si="527"/>
        <v>0</v>
      </c>
      <c r="AX385" s="24">
        <f t="shared" si="528"/>
        <v>0</v>
      </c>
      <c r="AY385" s="26" t="s">
        <v>1048</v>
      </c>
      <c r="AZ385" s="26" t="s">
        <v>427</v>
      </c>
      <c r="BA385" s="10" t="s">
        <v>52</v>
      </c>
      <c r="BC385" s="24">
        <f t="shared" si="529"/>
        <v>0</v>
      </c>
      <c r="BD385" s="24">
        <f t="shared" si="530"/>
        <v>0</v>
      </c>
      <c r="BE385" s="24">
        <v>0</v>
      </c>
      <c r="BF385" s="24">
        <f>382</f>
        <v>382</v>
      </c>
      <c r="BH385" s="24">
        <f t="shared" si="531"/>
        <v>0</v>
      </c>
      <c r="BI385" s="24">
        <f t="shared" si="532"/>
        <v>0</v>
      </c>
      <c r="BJ385" s="24">
        <f t="shared" si="533"/>
        <v>0</v>
      </c>
      <c r="BK385" s="26" t="s">
        <v>53</v>
      </c>
      <c r="BL385" s="24"/>
      <c r="BW385" s="24">
        <v>21</v>
      </c>
      <c r="BX385" s="4" t="s">
        <v>1064</v>
      </c>
    </row>
    <row r="386" spans="1:76" ht="14.4" x14ac:dyDescent="0.3">
      <c r="A386" s="2" t="s">
        <v>1065</v>
      </c>
      <c r="B386" s="3" t="s">
        <v>1066</v>
      </c>
      <c r="C386" s="82" t="s">
        <v>1067</v>
      </c>
      <c r="D386" s="81"/>
      <c r="E386" s="3" t="s">
        <v>1039</v>
      </c>
      <c r="F386" s="24">
        <v>4</v>
      </c>
      <c r="G386" s="180">
        <v>0</v>
      </c>
      <c r="H386" s="24">
        <f t="shared" si="512"/>
        <v>0</v>
      </c>
      <c r="I386" s="24">
        <f t="shared" si="513"/>
        <v>0</v>
      </c>
      <c r="J386" s="24">
        <f t="shared" si="514"/>
        <v>0</v>
      </c>
      <c r="K386" s="25"/>
      <c r="Z386" s="24">
        <f t="shared" si="515"/>
        <v>0</v>
      </c>
      <c r="AB386" s="24">
        <f t="shared" si="516"/>
        <v>0</v>
      </c>
      <c r="AC386" s="24">
        <f t="shared" si="517"/>
        <v>0</v>
      </c>
      <c r="AD386" s="24">
        <f t="shared" si="518"/>
        <v>0</v>
      </c>
      <c r="AE386" s="24">
        <f t="shared" si="519"/>
        <v>0</v>
      </c>
      <c r="AF386" s="24">
        <f t="shared" si="520"/>
        <v>0</v>
      </c>
      <c r="AG386" s="24">
        <f t="shared" si="521"/>
        <v>0</v>
      </c>
      <c r="AH386" s="24">
        <f t="shared" si="522"/>
        <v>0</v>
      </c>
      <c r="AI386" s="10" t="s">
        <v>43</v>
      </c>
      <c r="AJ386" s="24">
        <f t="shared" si="523"/>
        <v>0</v>
      </c>
      <c r="AK386" s="24">
        <f t="shared" si="524"/>
        <v>0</v>
      </c>
      <c r="AL386" s="24">
        <f t="shared" si="525"/>
        <v>0</v>
      </c>
      <c r="AN386" s="24">
        <v>21</v>
      </c>
      <c r="AO386" s="24">
        <f>G386*0</f>
        <v>0</v>
      </c>
      <c r="AP386" s="24">
        <f>G386*(1-0)</f>
        <v>0</v>
      </c>
      <c r="AQ386" s="26" t="s">
        <v>46</v>
      </c>
      <c r="AV386" s="24">
        <f t="shared" si="526"/>
        <v>0</v>
      </c>
      <c r="AW386" s="24">
        <f t="shared" si="527"/>
        <v>0</v>
      </c>
      <c r="AX386" s="24">
        <f t="shared" si="528"/>
        <v>0</v>
      </c>
      <c r="AY386" s="26" t="s">
        <v>1048</v>
      </c>
      <c r="AZ386" s="26" t="s">
        <v>427</v>
      </c>
      <c r="BA386" s="10" t="s">
        <v>52</v>
      </c>
      <c r="BC386" s="24">
        <f t="shared" si="529"/>
        <v>0</v>
      </c>
      <c r="BD386" s="24">
        <f t="shared" si="530"/>
        <v>0</v>
      </c>
      <c r="BE386" s="24">
        <v>0</v>
      </c>
      <c r="BF386" s="24">
        <f>383</f>
        <v>383</v>
      </c>
      <c r="BH386" s="24">
        <f t="shared" si="531"/>
        <v>0</v>
      </c>
      <c r="BI386" s="24">
        <f t="shared" si="532"/>
        <v>0</v>
      </c>
      <c r="BJ386" s="24">
        <f t="shared" si="533"/>
        <v>0</v>
      </c>
      <c r="BK386" s="26" t="s">
        <v>53</v>
      </c>
      <c r="BL386" s="24"/>
      <c r="BW386" s="24">
        <v>21</v>
      </c>
      <c r="BX386" s="4" t="s">
        <v>1067</v>
      </c>
    </row>
    <row r="387" spans="1:76" ht="14.4" x14ac:dyDescent="0.3">
      <c r="A387" s="2" t="s">
        <v>1068</v>
      </c>
      <c r="B387" s="3" t="s">
        <v>1069</v>
      </c>
      <c r="C387" s="82" t="s">
        <v>1070</v>
      </c>
      <c r="D387" s="81"/>
      <c r="E387" s="3" t="s">
        <v>1039</v>
      </c>
      <c r="F387" s="24">
        <v>2</v>
      </c>
      <c r="G387" s="180">
        <v>0</v>
      </c>
      <c r="H387" s="24">
        <f t="shared" si="512"/>
        <v>0</v>
      </c>
      <c r="I387" s="24">
        <f t="shared" si="513"/>
        <v>0</v>
      </c>
      <c r="J387" s="24">
        <f t="shared" si="514"/>
        <v>0</v>
      </c>
      <c r="K387" s="25"/>
      <c r="Z387" s="24">
        <f t="shared" si="515"/>
        <v>0</v>
      </c>
      <c r="AB387" s="24">
        <f t="shared" si="516"/>
        <v>0</v>
      </c>
      <c r="AC387" s="24">
        <f t="shared" si="517"/>
        <v>0</v>
      </c>
      <c r="AD387" s="24">
        <f t="shared" si="518"/>
        <v>0</v>
      </c>
      <c r="AE387" s="24">
        <f t="shared" si="519"/>
        <v>0</v>
      </c>
      <c r="AF387" s="24">
        <f t="shared" si="520"/>
        <v>0</v>
      </c>
      <c r="AG387" s="24">
        <f t="shared" si="521"/>
        <v>0</v>
      </c>
      <c r="AH387" s="24">
        <f t="shared" si="522"/>
        <v>0</v>
      </c>
      <c r="AI387" s="10" t="s">
        <v>43</v>
      </c>
      <c r="AJ387" s="24">
        <f t="shared" si="523"/>
        <v>0</v>
      </c>
      <c r="AK387" s="24">
        <f t="shared" si="524"/>
        <v>0</v>
      </c>
      <c r="AL387" s="24">
        <f t="shared" si="525"/>
        <v>0</v>
      </c>
      <c r="AN387" s="24">
        <v>21</v>
      </c>
      <c r="AO387" s="24">
        <f>G387*0</f>
        <v>0</v>
      </c>
      <c r="AP387" s="24">
        <f>G387*(1-0)</f>
        <v>0</v>
      </c>
      <c r="AQ387" s="26" t="s">
        <v>46</v>
      </c>
      <c r="AV387" s="24">
        <f t="shared" si="526"/>
        <v>0</v>
      </c>
      <c r="AW387" s="24">
        <f t="shared" si="527"/>
        <v>0</v>
      </c>
      <c r="AX387" s="24">
        <f t="shared" si="528"/>
        <v>0</v>
      </c>
      <c r="AY387" s="26" t="s">
        <v>1048</v>
      </c>
      <c r="AZ387" s="26" t="s">
        <v>427</v>
      </c>
      <c r="BA387" s="10" t="s">
        <v>52</v>
      </c>
      <c r="BC387" s="24">
        <f t="shared" si="529"/>
        <v>0</v>
      </c>
      <c r="BD387" s="24">
        <f t="shared" si="530"/>
        <v>0</v>
      </c>
      <c r="BE387" s="24">
        <v>0</v>
      </c>
      <c r="BF387" s="24">
        <f>384</f>
        <v>384</v>
      </c>
      <c r="BH387" s="24">
        <f t="shared" si="531"/>
        <v>0</v>
      </c>
      <c r="BI387" s="24">
        <f t="shared" si="532"/>
        <v>0</v>
      </c>
      <c r="BJ387" s="24">
        <f t="shared" si="533"/>
        <v>0</v>
      </c>
      <c r="BK387" s="26" t="s">
        <v>53</v>
      </c>
      <c r="BL387" s="24"/>
      <c r="BW387" s="24">
        <v>21</v>
      </c>
      <c r="BX387" s="4" t="s">
        <v>1070</v>
      </c>
    </row>
    <row r="388" spans="1:76" ht="14.4" x14ac:dyDescent="0.3">
      <c r="A388" s="2" t="s">
        <v>1071</v>
      </c>
      <c r="B388" s="3" t="s">
        <v>1072</v>
      </c>
      <c r="C388" s="82" t="s">
        <v>1073</v>
      </c>
      <c r="D388" s="81"/>
      <c r="E388" s="3" t="s">
        <v>1039</v>
      </c>
      <c r="F388" s="24">
        <v>4</v>
      </c>
      <c r="G388" s="180">
        <v>0</v>
      </c>
      <c r="H388" s="24">
        <f t="shared" si="512"/>
        <v>0</v>
      </c>
      <c r="I388" s="24">
        <f t="shared" si="513"/>
        <v>0</v>
      </c>
      <c r="J388" s="24">
        <f t="shared" si="514"/>
        <v>0</v>
      </c>
      <c r="K388" s="25"/>
      <c r="Z388" s="24">
        <f t="shared" si="515"/>
        <v>0</v>
      </c>
      <c r="AB388" s="24">
        <f t="shared" si="516"/>
        <v>0</v>
      </c>
      <c r="AC388" s="24">
        <f t="shared" si="517"/>
        <v>0</v>
      </c>
      <c r="AD388" s="24">
        <f t="shared" si="518"/>
        <v>0</v>
      </c>
      <c r="AE388" s="24">
        <f t="shared" si="519"/>
        <v>0</v>
      </c>
      <c r="AF388" s="24">
        <f t="shared" si="520"/>
        <v>0</v>
      </c>
      <c r="AG388" s="24">
        <f t="shared" si="521"/>
        <v>0</v>
      </c>
      <c r="AH388" s="24">
        <f t="shared" si="522"/>
        <v>0</v>
      </c>
      <c r="AI388" s="10" t="s">
        <v>43</v>
      </c>
      <c r="AJ388" s="24">
        <f t="shared" si="523"/>
        <v>0</v>
      </c>
      <c r="AK388" s="24">
        <f t="shared" si="524"/>
        <v>0</v>
      </c>
      <c r="AL388" s="24">
        <f t="shared" si="525"/>
        <v>0</v>
      </c>
      <c r="AN388" s="24">
        <v>21</v>
      </c>
      <c r="AO388" s="24">
        <f>G388*0</f>
        <v>0</v>
      </c>
      <c r="AP388" s="24">
        <f>G388*(1-0)</f>
        <v>0</v>
      </c>
      <c r="AQ388" s="26" t="s">
        <v>46</v>
      </c>
      <c r="AV388" s="24">
        <f t="shared" si="526"/>
        <v>0</v>
      </c>
      <c r="AW388" s="24">
        <f t="shared" si="527"/>
        <v>0</v>
      </c>
      <c r="AX388" s="24">
        <f t="shared" si="528"/>
        <v>0</v>
      </c>
      <c r="AY388" s="26" t="s">
        <v>1048</v>
      </c>
      <c r="AZ388" s="26" t="s">
        <v>427</v>
      </c>
      <c r="BA388" s="10" t="s">
        <v>52</v>
      </c>
      <c r="BC388" s="24">
        <f t="shared" si="529"/>
        <v>0</v>
      </c>
      <c r="BD388" s="24">
        <f t="shared" si="530"/>
        <v>0</v>
      </c>
      <c r="BE388" s="24">
        <v>0</v>
      </c>
      <c r="BF388" s="24">
        <f>385</f>
        <v>385</v>
      </c>
      <c r="BH388" s="24">
        <f t="shared" si="531"/>
        <v>0</v>
      </c>
      <c r="BI388" s="24">
        <f t="shared" si="532"/>
        <v>0</v>
      </c>
      <c r="BJ388" s="24">
        <f t="shared" si="533"/>
        <v>0</v>
      </c>
      <c r="BK388" s="26" t="s">
        <v>53</v>
      </c>
      <c r="BL388" s="24"/>
      <c r="BW388" s="24">
        <v>21</v>
      </c>
      <c r="BX388" s="4" t="s">
        <v>1073</v>
      </c>
    </row>
    <row r="389" spans="1:76" ht="14.4" x14ac:dyDescent="0.3">
      <c r="A389" s="2" t="s">
        <v>1074</v>
      </c>
      <c r="B389" s="3" t="s">
        <v>1075</v>
      </c>
      <c r="C389" s="82" t="s">
        <v>1076</v>
      </c>
      <c r="D389" s="81"/>
      <c r="E389" s="3" t="s">
        <v>1039</v>
      </c>
      <c r="F389" s="24">
        <v>1</v>
      </c>
      <c r="G389" s="180">
        <v>0</v>
      </c>
      <c r="H389" s="24">
        <f t="shared" si="512"/>
        <v>0</v>
      </c>
      <c r="I389" s="24">
        <f t="shared" si="513"/>
        <v>0</v>
      </c>
      <c r="J389" s="24">
        <f t="shared" si="514"/>
        <v>0</v>
      </c>
      <c r="K389" s="25"/>
      <c r="Z389" s="24">
        <f t="shared" si="515"/>
        <v>0</v>
      </c>
      <c r="AB389" s="24">
        <f t="shared" si="516"/>
        <v>0</v>
      </c>
      <c r="AC389" s="24">
        <f t="shared" si="517"/>
        <v>0</v>
      </c>
      <c r="AD389" s="24">
        <f t="shared" si="518"/>
        <v>0</v>
      </c>
      <c r="AE389" s="24">
        <f t="shared" si="519"/>
        <v>0</v>
      </c>
      <c r="AF389" s="24">
        <f t="shared" si="520"/>
        <v>0</v>
      </c>
      <c r="AG389" s="24">
        <f t="shared" si="521"/>
        <v>0</v>
      </c>
      <c r="AH389" s="24">
        <f t="shared" si="522"/>
        <v>0</v>
      </c>
      <c r="AI389" s="10" t="s">
        <v>43</v>
      </c>
      <c r="AJ389" s="24">
        <f t="shared" si="523"/>
        <v>0</v>
      </c>
      <c r="AK389" s="24">
        <f t="shared" si="524"/>
        <v>0</v>
      </c>
      <c r="AL389" s="24">
        <f t="shared" si="525"/>
        <v>0</v>
      </c>
      <c r="AN389" s="24">
        <v>21</v>
      </c>
      <c r="AO389" s="24">
        <f>G389*0</f>
        <v>0</v>
      </c>
      <c r="AP389" s="24">
        <f>G389*(1-0)</f>
        <v>0</v>
      </c>
      <c r="AQ389" s="26" t="s">
        <v>46</v>
      </c>
      <c r="AV389" s="24">
        <f t="shared" si="526"/>
        <v>0</v>
      </c>
      <c r="AW389" s="24">
        <f t="shared" si="527"/>
        <v>0</v>
      </c>
      <c r="AX389" s="24">
        <f t="shared" si="528"/>
        <v>0</v>
      </c>
      <c r="AY389" s="26" t="s">
        <v>1048</v>
      </c>
      <c r="AZ389" s="26" t="s">
        <v>427</v>
      </c>
      <c r="BA389" s="10" t="s">
        <v>52</v>
      </c>
      <c r="BC389" s="24">
        <f t="shared" si="529"/>
        <v>0</v>
      </c>
      <c r="BD389" s="24">
        <f t="shared" si="530"/>
        <v>0</v>
      </c>
      <c r="BE389" s="24">
        <v>0</v>
      </c>
      <c r="BF389" s="24">
        <f>386</f>
        <v>386</v>
      </c>
      <c r="BH389" s="24">
        <f t="shared" si="531"/>
        <v>0</v>
      </c>
      <c r="BI389" s="24">
        <f t="shared" si="532"/>
        <v>0</v>
      </c>
      <c r="BJ389" s="24">
        <f t="shared" si="533"/>
        <v>0</v>
      </c>
      <c r="BK389" s="26" t="s">
        <v>53</v>
      </c>
      <c r="BL389" s="24"/>
      <c r="BW389" s="24">
        <v>21</v>
      </c>
      <c r="BX389" s="4" t="s">
        <v>1076</v>
      </c>
    </row>
    <row r="390" spans="1:76" ht="14.4" x14ac:dyDescent="0.3">
      <c r="A390" s="2" t="s">
        <v>1077</v>
      </c>
      <c r="B390" s="3" t="s">
        <v>1078</v>
      </c>
      <c r="C390" s="82" t="s">
        <v>1079</v>
      </c>
      <c r="D390" s="81"/>
      <c r="E390" s="3" t="s">
        <v>1039</v>
      </c>
      <c r="F390" s="24">
        <v>2</v>
      </c>
      <c r="G390" s="180">
        <v>0</v>
      </c>
      <c r="H390" s="24">
        <f t="shared" si="512"/>
        <v>0</v>
      </c>
      <c r="I390" s="24">
        <f t="shared" si="513"/>
        <v>0</v>
      </c>
      <c r="J390" s="24">
        <f t="shared" si="514"/>
        <v>0</v>
      </c>
      <c r="K390" s="25"/>
      <c r="Z390" s="24">
        <f t="shared" si="515"/>
        <v>0</v>
      </c>
      <c r="AB390" s="24">
        <f t="shared" si="516"/>
        <v>0</v>
      </c>
      <c r="AC390" s="24">
        <f t="shared" si="517"/>
        <v>0</v>
      </c>
      <c r="AD390" s="24">
        <f t="shared" si="518"/>
        <v>0</v>
      </c>
      <c r="AE390" s="24">
        <f t="shared" si="519"/>
        <v>0</v>
      </c>
      <c r="AF390" s="24">
        <f t="shared" si="520"/>
        <v>0</v>
      </c>
      <c r="AG390" s="24">
        <f t="shared" si="521"/>
        <v>0</v>
      </c>
      <c r="AH390" s="24">
        <f t="shared" si="522"/>
        <v>0</v>
      </c>
      <c r="AI390" s="10" t="s">
        <v>43</v>
      </c>
      <c r="AJ390" s="24">
        <f t="shared" si="523"/>
        <v>0</v>
      </c>
      <c r="AK390" s="24">
        <f t="shared" si="524"/>
        <v>0</v>
      </c>
      <c r="AL390" s="24">
        <f t="shared" si="525"/>
        <v>0</v>
      </c>
      <c r="AN390" s="24">
        <v>21</v>
      </c>
      <c r="AO390" s="24">
        <f>G390*0</f>
        <v>0</v>
      </c>
      <c r="AP390" s="24">
        <f>G390*(1-0)</f>
        <v>0</v>
      </c>
      <c r="AQ390" s="26" t="s">
        <v>46</v>
      </c>
      <c r="AV390" s="24">
        <f t="shared" si="526"/>
        <v>0</v>
      </c>
      <c r="AW390" s="24">
        <f t="shared" si="527"/>
        <v>0</v>
      </c>
      <c r="AX390" s="24">
        <f t="shared" si="528"/>
        <v>0</v>
      </c>
      <c r="AY390" s="26" t="s">
        <v>1048</v>
      </c>
      <c r="AZ390" s="26" t="s">
        <v>427</v>
      </c>
      <c r="BA390" s="10" t="s">
        <v>52</v>
      </c>
      <c r="BC390" s="24">
        <f t="shared" si="529"/>
        <v>0</v>
      </c>
      <c r="BD390" s="24">
        <f t="shared" si="530"/>
        <v>0</v>
      </c>
      <c r="BE390" s="24">
        <v>0</v>
      </c>
      <c r="BF390" s="24">
        <f>387</f>
        <v>387</v>
      </c>
      <c r="BH390" s="24">
        <f t="shared" si="531"/>
        <v>0</v>
      </c>
      <c r="BI390" s="24">
        <f t="shared" si="532"/>
        <v>0</v>
      </c>
      <c r="BJ390" s="24">
        <f t="shared" si="533"/>
        <v>0</v>
      </c>
      <c r="BK390" s="26" t="s">
        <v>53</v>
      </c>
      <c r="BL390" s="24"/>
      <c r="BW390" s="24">
        <v>21</v>
      </c>
      <c r="BX390" s="4" t="s">
        <v>1079</v>
      </c>
    </row>
    <row r="391" spans="1:76" ht="14.4" x14ac:dyDescent="0.3">
      <c r="A391" s="27" t="s">
        <v>43</v>
      </c>
      <c r="B391" s="28" t="s">
        <v>1080</v>
      </c>
      <c r="C391" s="98" t="s">
        <v>1081</v>
      </c>
      <c r="D391" s="99"/>
      <c r="E391" s="29" t="s">
        <v>3</v>
      </c>
      <c r="F391" s="29" t="s">
        <v>3</v>
      </c>
      <c r="G391" s="29" t="s">
        <v>3</v>
      </c>
      <c r="H391" s="1">
        <f>ROUND(SUM(H392:H423),2)</f>
        <v>0</v>
      </c>
      <c r="I391" s="1">
        <f>ROUND(SUM(I392:I423),2)</f>
        <v>0</v>
      </c>
      <c r="J391" s="1">
        <f>ROUND(SUM(J392:J423),2)</f>
        <v>0</v>
      </c>
      <c r="K391" s="30"/>
      <c r="AI391" s="10" t="s">
        <v>43</v>
      </c>
      <c r="AS391" s="1">
        <f>SUM(AJ392:AJ423)</f>
        <v>0</v>
      </c>
      <c r="AT391" s="1">
        <f>SUM(AK392:AK423)</f>
        <v>0</v>
      </c>
      <c r="AU391" s="1">
        <f>SUM(AL392:AL423)</f>
        <v>0</v>
      </c>
    </row>
    <row r="392" spans="1:76" ht="14.4" x14ac:dyDescent="0.3">
      <c r="A392" s="2" t="s">
        <v>1082</v>
      </c>
      <c r="B392" s="3" t="s">
        <v>1083</v>
      </c>
      <c r="C392" s="82" t="s">
        <v>1084</v>
      </c>
      <c r="D392" s="81"/>
      <c r="E392" s="3" t="s">
        <v>174</v>
      </c>
      <c r="F392" s="24">
        <v>1</v>
      </c>
      <c r="G392" s="180">
        <v>0</v>
      </c>
      <c r="H392" s="24">
        <f t="shared" ref="H392:H423" si="534">ROUND(F392*AO392,2)</f>
        <v>0</v>
      </c>
      <c r="I392" s="24">
        <f t="shared" ref="I392:I423" si="535">ROUND(F392*AP392,2)</f>
        <v>0</v>
      </c>
      <c r="J392" s="24">
        <f t="shared" ref="J392:J423" si="536">ROUND(F392*G392,2)</f>
        <v>0</v>
      </c>
      <c r="K392" s="25"/>
      <c r="Z392" s="24">
        <f t="shared" ref="Z392:Z423" si="537">ROUND(IF(AQ392="5",BJ392,0),2)</f>
        <v>0</v>
      </c>
      <c r="AB392" s="24">
        <f t="shared" ref="AB392:AB423" si="538">ROUND(IF(AQ392="1",BH392,0),2)</f>
        <v>0</v>
      </c>
      <c r="AC392" s="24">
        <f t="shared" ref="AC392:AC423" si="539">ROUND(IF(AQ392="1",BI392,0),2)</f>
        <v>0</v>
      </c>
      <c r="AD392" s="24">
        <f t="shared" ref="AD392:AD423" si="540">ROUND(IF(AQ392="7",BH392,0),2)</f>
        <v>0</v>
      </c>
      <c r="AE392" s="24">
        <f t="shared" ref="AE392:AE423" si="541">ROUND(IF(AQ392="7",BI392,0),2)</f>
        <v>0</v>
      </c>
      <c r="AF392" s="24">
        <f t="shared" ref="AF392:AF423" si="542">ROUND(IF(AQ392="2",BH392,0),2)</f>
        <v>0</v>
      </c>
      <c r="AG392" s="24">
        <f t="shared" ref="AG392:AG423" si="543">ROUND(IF(AQ392="2",BI392,0),2)</f>
        <v>0</v>
      </c>
      <c r="AH392" s="24">
        <f t="shared" ref="AH392:AH423" si="544">ROUND(IF(AQ392="0",BJ392,0),2)</f>
        <v>0</v>
      </c>
      <c r="AI392" s="10" t="s">
        <v>43</v>
      </c>
      <c r="AJ392" s="24">
        <f t="shared" ref="AJ392:AJ423" si="545">IF(AN392=0,J392,0)</f>
        <v>0</v>
      </c>
      <c r="AK392" s="24">
        <f t="shared" ref="AK392:AK423" si="546">IF(AN392=12,J392,0)</f>
        <v>0</v>
      </c>
      <c r="AL392" s="24">
        <f t="shared" ref="AL392:AL423" si="547">IF(AN392=21,J392,0)</f>
        <v>0</v>
      </c>
      <c r="AN392" s="24">
        <v>21</v>
      </c>
      <c r="AO392" s="24">
        <f>G392*0.803416486</f>
        <v>0</v>
      </c>
      <c r="AP392" s="24">
        <f>G392*(1-0.803416486)</f>
        <v>0</v>
      </c>
      <c r="AQ392" s="26" t="s">
        <v>46</v>
      </c>
      <c r="AV392" s="24">
        <f t="shared" ref="AV392:AV423" si="548">ROUND(AW392+AX392,2)</f>
        <v>0</v>
      </c>
      <c r="AW392" s="24">
        <f t="shared" ref="AW392:AW423" si="549">ROUND(F392*AO392,2)</f>
        <v>0</v>
      </c>
      <c r="AX392" s="24">
        <f t="shared" ref="AX392:AX423" si="550">ROUND(F392*AP392,2)</f>
        <v>0</v>
      </c>
      <c r="AY392" s="26" t="s">
        <v>1085</v>
      </c>
      <c r="AZ392" s="26" t="s">
        <v>427</v>
      </c>
      <c r="BA392" s="10" t="s">
        <v>52</v>
      </c>
      <c r="BC392" s="24">
        <f t="shared" ref="BC392:BC423" si="551">AW392+AX392</f>
        <v>0</v>
      </c>
      <c r="BD392" s="24">
        <f t="shared" ref="BD392:BD423" si="552">G392/(100-BE392)*100</f>
        <v>0</v>
      </c>
      <c r="BE392" s="24">
        <v>0</v>
      </c>
      <c r="BF392" s="24">
        <f>389</f>
        <v>389</v>
      </c>
      <c r="BH392" s="24">
        <f t="shared" ref="BH392:BH423" si="553">F392*AO392</f>
        <v>0</v>
      </c>
      <c r="BI392" s="24">
        <f t="shared" ref="BI392:BI423" si="554">F392*AP392</f>
        <v>0</v>
      </c>
      <c r="BJ392" s="24">
        <f t="shared" ref="BJ392:BJ423" si="555">F392*G392</f>
        <v>0</v>
      </c>
      <c r="BK392" s="26" t="s">
        <v>53</v>
      </c>
      <c r="BL392" s="24"/>
      <c r="BW392" s="24">
        <v>21</v>
      </c>
      <c r="BX392" s="4" t="s">
        <v>1084</v>
      </c>
    </row>
    <row r="393" spans="1:76" ht="14.4" x14ac:dyDescent="0.3">
      <c r="A393" s="2" t="s">
        <v>1086</v>
      </c>
      <c r="B393" s="3" t="s">
        <v>1087</v>
      </c>
      <c r="C393" s="82" t="s">
        <v>1088</v>
      </c>
      <c r="D393" s="81"/>
      <c r="E393" s="3" t="s">
        <v>174</v>
      </c>
      <c r="F393" s="24">
        <v>1</v>
      </c>
      <c r="G393" s="180">
        <v>0</v>
      </c>
      <c r="H393" s="24">
        <f t="shared" si="534"/>
        <v>0</v>
      </c>
      <c r="I393" s="24">
        <f t="shared" si="535"/>
        <v>0</v>
      </c>
      <c r="J393" s="24">
        <f t="shared" si="536"/>
        <v>0</v>
      </c>
      <c r="K393" s="25"/>
      <c r="Z393" s="24">
        <f t="shared" si="537"/>
        <v>0</v>
      </c>
      <c r="AB393" s="24">
        <f t="shared" si="538"/>
        <v>0</v>
      </c>
      <c r="AC393" s="24">
        <f t="shared" si="539"/>
        <v>0</v>
      </c>
      <c r="AD393" s="24">
        <f t="shared" si="540"/>
        <v>0</v>
      </c>
      <c r="AE393" s="24">
        <f t="shared" si="541"/>
        <v>0</v>
      </c>
      <c r="AF393" s="24">
        <f t="shared" si="542"/>
        <v>0</v>
      </c>
      <c r="AG393" s="24">
        <f t="shared" si="543"/>
        <v>0</v>
      </c>
      <c r="AH393" s="24">
        <f t="shared" si="544"/>
        <v>0</v>
      </c>
      <c r="AI393" s="10" t="s">
        <v>43</v>
      </c>
      <c r="AJ393" s="24">
        <f t="shared" si="545"/>
        <v>0</v>
      </c>
      <c r="AK393" s="24">
        <f t="shared" si="546"/>
        <v>0</v>
      </c>
      <c r="AL393" s="24">
        <f t="shared" si="547"/>
        <v>0</v>
      </c>
      <c r="AN393" s="24">
        <v>21</v>
      </c>
      <c r="AO393" s="24">
        <f>G393*0.723880597</f>
        <v>0</v>
      </c>
      <c r="AP393" s="24">
        <f>G393*(1-0.723880597)</f>
        <v>0</v>
      </c>
      <c r="AQ393" s="26" t="s">
        <v>46</v>
      </c>
      <c r="AV393" s="24">
        <f t="shared" si="548"/>
        <v>0</v>
      </c>
      <c r="AW393" s="24">
        <f t="shared" si="549"/>
        <v>0</v>
      </c>
      <c r="AX393" s="24">
        <f t="shared" si="550"/>
        <v>0</v>
      </c>
      <c r="AY393" s="26" t="s">
        <v>1085</v>
      </c>
      <c r="AZ393" s="26" t="s">
        <v>427</v>
      </c>
      <c r="BA393" s="10" t="s">
        <v>52</v>
      </c>
      <c r="BC393" s="24">
        <f t="shared" si="551"/>
        <v>0</v>
      </c>
      <c r="BD393" s="24">
        <f t="shared" si="552"/>
        <v>0</v>
      </c>
      <c r="BE393" s="24">
        <v>0</v>
      </c>
      <c r="BF393" s="24">
        <f>390</f>
        <v>390</v>
      </c>
      <c r="BH393" s="24">
        <f t="shared" si="553"/>
        <v>0</v>
      </c>
      <c r="BI393" s="24">
        <f t="shared" si="554"/>
        <v>0</v>
      </c>
      <c r="BJ393" s="24">
        <f t="shared" si="555"/>
        <v>0</v>
      </c>
      <c r="BK393" s="26" t="s">
        <v>53</v>
      </c>
      <c r="BL393" s="24"/>
      <c r="BW393" s="24">
        <v>21</v>
      </c>
      <c r="BX393" s="4" t="s">
        <v>1088</v>
      </c>
    </row>
    <row r="394" spans="1:76" ht="14.4" x14ac:dyDescent="0.3">
      <c r="A394" s="2" t="s">
        <v>1089</v>
      </c>
      <c r="B394" s="3" t="s">
        <v>1090</v>
      </c>
      <c r="C394" s="82" t="s">
        <v>1091</v>
      </c>
      <c r="D394" s="81"/>
      <c r="E394" s="3" t="s">
        <v>174</v>
      </c>
      <c r="F394" s="24">
        <v>4</v>
      </c>
      <c r="G394" s="180">
        <v>0</v>
      </c>
      <c r="H394" s="24">
        <f t="shared" si="534"/>
        <v>0</v>
      </c>
      <c r="I394" s="24">
        <f t="shared" si="535"/>
        <v>0</v>
      </c>
      <c r="J394" s="24">
        <f t="shared" si="536"/>
        <v>0</v>
      </c>
      <c r="K394" s="25"/>
      <c r="Z394" s="24">
        <f t="shared" si="537"/>
        <v>0</v>
      </c>
      <c r="AB394" s="24">
        <f t="shared" si="538"/>
        <v>0</v>
      </c>
      <c r="AC394" s="24">
        <f t="shared" si="539"/>
        <v>0</v>
      </c>
      <c r="AD394" s="24">
        <f t="shared" si="540"/>
        <v>0</v>
      </c>
      <c r="AE394" s="24">
        <f t="shared" si="541"/>
        <v>0</v>
      </c>
      <c r="AF394" s="24">
        <f t="shared" si="542"/>
        <v>0</v>
      </c>
      <c r="AG394" s="24">
        <f t="shared" si="543"/>
        <v>0</v>
      </c>
      <c r="AH394" s="24">
        <f t="shared" si="544"/>
        <v>0</v>
      </c>
      <c r="AI394" s="10" t="s">
        <v>43</v>
      </c>
      <c r="AJ394" s="24">
        <f t="shared" si="545"/>
        <v>0</v>
      </c>
      <c r="AK394" s="24">
        <f t="shared" si="546"/>
        <v>0</v>
      </c>
      <c r="AL394" s="24">
        <f t="shared" si="547"/>
        <v>0</v>
      </c>
      <c r="AN394" s="24">
        <v>21</v>
      </c>
      <c r="AO394" s="24">
        <f>G394*0.859719439</f>
        <v>0</v>
      </c>
      <c r="AP394" s="24">
        <f>G394*(1-0.859719439)</f>
        <v>0</v>
      </c>
      <c r="AQ394" s="26" t="s">
        <v>46</v>
      </c>
      <c r="AV394" s="24">
        <f t="shared" si="548"/>
        <v>0</v>
      </c>
      <c r="AW394" s="24">
        <f t="shared" si="549"/>
        <v>0</v>
      </c>
      <c r="AX394" s="24">
        <f t="shared" si="550"/>
        <v>0</v>
      </c>
      <c r="AY394" s="26" t="s">
        <v>1085</v>
      </c>
      <c r="AZ394" s="26" t="s">
        <v>427</v>
      </c>
      <c r="BA394" s="10" t="s">
        <v>52</v>
      </c>
      <c r="BC394" s="24">
        <f t="shared" si="551"/>
        <v>0</v>
      </c>
      <c r="BD394" s="24">
        <f t="shared" si="552"/>
        <v>0</v>
      </c>
      <c r="BE394" s="24">
        <v>0</v>
      </c>
      <c r="BF394" s="24">
        <f>391</f>
        <v>391</v>
      </c>
      <c r="BH394" s="24">
        <f t="shared" si="553"/>
        <v>0</v>
      </c>
      <c r="BI394" s="24">
        <f t="shared" si="554"/>
        <v>0</v>
      </c>
      <c r="BJ394" s="24">
        <f t="shared" si="555"/>
        <v>0</v>
      </c>
      <c r="BK394" s="26" t="s">
        <v>53</v>
      </c>
      <c r="BL394" s="24"/>
      <c r="BW394" s="24">
        <v>21</v>
      </c>
      <c r="BX394" s="4" t="s">
        <v>1091</v>
      </c>
    </row>
    <row r="395" spans="1:76" ht="14.4" x14ac:dyDescent="0.3">
      <c r="A395" s="2" t="s">
        <v>1092</v>
      </c>
      <c r="B395" s="3" t="s">
        <v>1093</v>
      </c>
      <c r="C395" s="82" t="s">
        <v>1094</v>
      </c>
      <c r="D395" s="81"/>
      <c r="E395" s="3" t="s">
        <v>174</v>
      </c>
      <c r="F395" s="24">
        <v>4</v>
      </c>
      <c r="G395" s="180">
        <v>0</v>
      </c>
      <c r="H395" s="24">
        <f t="shared" si="534"/>
        <v>0</v>
      </c>
      <c r="I395" s="24">
        <f t="shared" si="535"/>
        <v>0</v>
      </c>
      <c r="J395" s="24">
        <f t="shared" si="536"/>
        <v>0</v>
      </c>
      <c r="K395" s="25"/>
      <c r="Z395" s="24">
        <f t="shared" si="537"/>
        <v>0</v>
      </c>
      <c r="AB395" s="24">
        <f t="shared" si="538"/>
        <v>0</v>
      </c>
      <c r="AC395" s="24">
        <f t="shared" si="539"/>
        <v>0</v>
      </c>
      <c r="AD395" s="24">
        <f t="shared" si="540"/>
        <v>0</v>
      </c>
      <c r="AE395" s="24">
        <f t="shared" si="541"/>
        <v>0</v>
      </c>
      <c r="AF395" s="24">
        <f t="shared" si="542"/>
        <v>0</v>
      </c>
      <c r="AG395" s="24">
        <f t="shared" si="543"/>
        <v>0</v>
      </c>
      <c r="AH395" s="24">
        <f t="shared" si="544"/>
        <v>0</v>
      </c>
      <c r="AI395" s="10" t="s">
        <v>43</v>
      </c>
      <c r="AJ395" s="24">
        <f t="shared" si="545"/>
        <v>0</v>
      </c>
      <c r="AK395" s="24">
        <f t="shared" si="546"/>
        <v>0</v>
      </c>
      <c r="AL395" s="24">
        <f t="shared" si="547"/>
        <v>0</v>
      </c>
      <c r="AN395" s="24">
        <v>21</v>
      </c>
      <c r="AO395" s="24">
        <f>G395*0.598930481</f>
        <v>0</v>
      </c>
      <c r="AP395" s="24">
        <f>G395*(1-0.598930481)</f>
        <v>0</v>
      </c>
      <c r="AQ395" s="26" t="s">
        <v>46</v>
      </c>
      <c r="AV395" s="24">
        <f t="shared" si="548"/>
        <v>0</v>
      </c>
      <c r="AW395" s="24">
        <f t="shared" si="549"/>
        <v>0</v>
      </c>
      <c r="AX395" s="24">
        <f t="shared" si="550"/>
        <v>0</v>
      </c>
      <c r="AY395" s="26" t="s">
        <v>1085</v>
      </c>
      <c r="AZ395" s="26" t="s">
        <v>427</v>
      </c>
      <c r="BA395" s="10" t="s">
        <v>52</v>
      </c>
      <c r="BC395" s="24">
        <f t="shared" si="551"/>
        <v>0</v>
      </c>
      <c r="BD395" s="24">
        <f t="shared" si="552"/>
        <v>0</v>
      </c>
      <c r="BE395" s="24">
        <v>0</v>
      </c>
      <c r="BF395" s="24">
        <f>392</f>
        <v>392</v>
      </c>
      <c r="BH395" s="24">
        <f t="shared" si="553"/>
        <v>0</v>
      </c>
      <c r="BI395" s="24">
        <f t="shared" si="554"/>
        <v>0</v>
      </c>
      <c r="BJ395" s="24">
        <f t="shared" si="555"/>
        <v>0</v>
      </c>
      <c r="BK395" s="26" t="s">
        <v>53</v>
      </c>
      <c r="BL395" s="24"/>
      <c r="BW395" s="24">
        <v>21</v>
      </c>
      <c r="BX395" s="4" t="s">
        <v>1094</v>
      </c>
    </row>
    <row r="396" spans="1:76" ht="14.4" x14ac:dyDescent="0.3">
      <c r="A396" s="2" t="s">
        <v>1095</v>
      </c>
      <c r="B396" s="3" t="s">
        <v>1096</v>
      </c>
      <c r="C396" s="82" t="s">
        <v>1097</v>
      </c>
      <c r="D396" s="81"/>
      <c r="E396" s="3" t="s">
        <v>174</v>
      </c>
      <c r="F396" s="24">
        <v>3</v>
      </c>
      <c r="G396" s="180">
        <v>0</v>
      </c>
      <c r="H396" s="24">
        <f t="shared" si="534"/>
        <v>0</v>
      </c>
      <c r="I396" s="24">
        <f t="shared" si="535"/>
        <v>0</v>
      </c>
      <c r="J396" s="24">
        <f t="shared" si="536"/>
        <v>0</v>
      </c>
      <c r="K396" s="25"/>
      <c r="Z396" s="24">
        <f t="shared" si="537"/>
        <v>0</v>
      </c>
      <c r="AB396" s="24">
        <f t="shared" si="538"/>
        <v>0</v>
      </c>
      <c r="AC396" s="24">
        <f t="shared" si="539"/>
        <v>0</v>
      </c>
      <c r="AD396" s="24">
        <f t="shared" si="540"/>
        <v>0</v>
      </c>
      <c r="AE396" s="24">
        <f t="shared" si="541"/>
        <v>0</v>
      </c>
      <c r="AF396" s="24">
        <f t="shared" si="542"/>
        <v>0</v>
      </c>
      <c r="AG396" s="24">
        <f t="shared" si="543"/>
        <v>0</v>
      </c>
      <c r="AH396" s="24">
        <f t="shared" si="544"/>
        <v>0</v>
      </c>
      <c r="AI396" s="10" t="s">
        <v>43</v>
      </c>
      <c r="AJ396" s="24">
        <f t="shared" si="545"/>
        <v>0</v>
      </c>
      <c r="AK396" s="24">
        <f t="shared" si="546"/>
        <v>0</v>
      </c>
      <c r="AL396" s="24">
        <f t="shared" si="547"/>
        <v>0</v>
      </c>
      <c r="AN396" s="24">
        <v>21</v>
      </c>
      <c r="AO396" s="24">
        <f>G396*0.598930481</f>
        <v>0</v>
      </c>
      <c r="AP396" s="24">
        <f>G396*(1-0.598930481)</f>
        <v>0</v>
      </c>
      <c r="AQ396" s="26" t="s">
        <v>46</v>
      </c>
      <c r="AV396" s="24">
        <f t="shared" si="548"/>
        <v>0</v>
      </c>
      <c r="AW396" s="24">
        <f t="shared" si="549"/>
        <v>0</v>
      </c>
      <c r="AX396" s="24">
        <f t="shared" si="550"/>
        <v>0</v>
      </c>
      <c r="AY396" s="26" t="s">
        <v>1085</v>
      </c>
      <c r="AZ396" s="26" t="s">
        <v>427</v>
      </c>
      <c r="BA396" s="10" t="s">
        <v>52</v>
      </c>
      <c r="BC396" s="24">
        <f t="shared" si="551"/>
        <v>0</v>
      </c>
      <c r="BD396" s="24">
        <f t="shared" si="552"/>
        <v>0</v>
      </c>
      <c r="BE396" s="24">
        <v>0</v>
      </c>
      <c r="BF396" s="24">
        <f>393</f>
        <v>393</v>
      </c>
      <c r="BH396" s="24">
        <f t="shared" si="553"/>
        <v>0</v>
      </c>
      <c r="BI396" s="24">
        <f t="shared" si="554"/>
        <v>0</v>
      </c>
      <c r="BJ396" s="24">
        <f t="shared" si="555"/>
        <v>0</v>
      </c>
      <c r="BK396" s="26" t="s">
        <v>53</v>
      </c>
      <c r="BL396" s="24"/>
      <c r="BW396" s="24">
        <v>21</v>
      </c>
      <c r="BX396" s="4" t="s">
        <v>1097</v>
      </c>
    </row>
    <row r="397" spans="1:76" ht="14.4" x14ac:dyDescent="0.3">
      <c r="A397" s="2" t="s">
        <v>1098</v>
      </c>
      <c r="B397" s="3" t="s">
        <v>1099</v>
      </c>
      <c r="C397" s="82" t="s">
        <v>1100</v>
      </c>
      <c r="D397" s="81"/>
      <c r="E397" s="3" t="s">
        <v>174</v>
      </c>
      <c r="F397" s="24">
        <v>1</v>
      </c>
      <c r="G397" s="180">
        <v>0</v>
      </c>
      <c r="H397" s="24">
        <f t="shared" si="534"/>
        <v>0</v>
      </c>
      <c r="I397" s="24">
        <f t="shared" si="535"/>
        <v>0</v>
      </c>
      <c r="J397" s="24">
        <f t="shared" si="536"/>
        <v>0</v>
      </c>
      <c r="K397" s="25"/>
      <c r="Z397" s="24">
        <f t="shared" si="537"/>
        <v>0</v>
      </c>
      <c r="AB397" s="24">
        <f t="shared" si="538"/>
        <v>0</v>
      </c>
      <c r="AC397" s="24">
        <f t="shared" si="539"/>
        <v>0</v>
      </c>
      <c r="AD397" s="24">
        <f t="shared" si="540"/>
        <v>0</v>
      </c>
      <c r="AE397" s="24">
        <f t="shared" si="541"/>
        <v>0</v>
      </c>
      <c r="AF397" s="24">
        <f t="shared" si="542"/>
        <v>0</v>
      </c>
      <c r="AG397" s="24">
        <f t="shared" si="543"/>
        <v>0</v>
      </c>
      <c r="AH397" s="24">
        <f t="shared" si="544"/>
        <v>0</v>
      </c>
      <c r="AI397" s="10" t="s">
        <v>43</v>
      </c>
      <c r="AJ397" s="24">
        <f t="shared" si="545"/>
        <v>0</v>
      </c>
      <c r="AK397" s="24">
        <f t="shared" si="546"/>
        <v>0</v>
      </c>
      <c r="AL397" s="24">
        <f t="shared" si="547"/>
        <v>0</v>
      </c>
      <c r="AN397" s="24">
        <v>21</v>
      </c>
      <c r="AO397" s="24">
        <f>G397*0.78511739</f>
        <v>0</v>
      </c>
      <c r="AP397" s="24">
        <f>G397*(1-0.78511739)</f>
        <v>0</v>
      </c>
      <c r="AQ397" s="26" t="s">
        <v>46</v>
      </c>
      <c r="AV397" s="24">
        <f t="shared" si="548"/>
        <v>0</v>
      </c>
      <c r="AW397" s="24">
        <f t="shared" si="549"/>
        <v>0</v>
      </c>
      <c r="AX397" s="24">
        <f t="shared" si="550"/>
        <v>0</v>
      </c>
      <c r="AY397" s="26" t="s">
        <v>1085</v>
      </c>
      <c r="AZ397" s="26" t="s">
        <v>427</v>
      </c>
      <c r="BA397" s="10" t="s">
        <v>52</v>
      </c>
      <c r="BC397" s="24">
        <f t="shared" si="551"/>
        <v>0</v>
      </c>
      <c r="BD397" s="24">
        <f t="shared" si="552"/>
        <v>0</v>
      </c>
      <c r="BE397" s="24">
        <v>0</v>
      </c>
      <c r="BF397" s="24">
        <f>394</f>
        <v>394</v>
      </c>
      <c r="BH397" s="24">
        <f t="shared" si="553"/>
        <v>0</v>
      </c>
      <c r="BI397" s="24">
        <f t="shared" si="554"/>
        <v>0</v>
      </c>
      <c r="BJ397" s="24">
        <f t="shared" si="555"/>
        <v>0</v>
      </c>
      <c r="BK397" s="26" t="s">
        <v>53</v>
      </c>
      <c r="BL397" s="24"/>
      <c r="BW397" s="24">
        <v>21</v>
      </c>
      <c r="BX397" s="4" t="s">
        <v>1100</v>
      </c>
    </row>
    <row r="398" spans="1:76" ht="14.4" x14ac:dyDescent="0.3">
      <c r="A398" s="2" t="s">
        <v>1101</v>
      </c>
      <c r="B398" s="3" t="s">
        <v>1102</v>
      </c>
      <c r="C398" s="82" t="s">
        <v>1103</v>
      </c>
      <c r="D398" s="81"/>
      <c r="E398" s="3" t="s">
        <v>174</v>
      </c>
      <c r="F398" s="24">
        <v>1</v>
      </c>
      <c r="G398" s="180">
        <v>0</v>
      </c>
      <c r="H398" s="24">
        <f t="shared" si="534"/>
        <v>0</v>
      </c>
      <c r="I398" s="24">
        <f t="shared" si="535"/>
        <v>0</v>
      </c>
      <c r="J398" s="24">
        <f t="shared" si="536"/>
        <v>0</v>
      </c>
      <c r="K398" s="25"/>
      <c r="Z398" s="24">
        <f t="shared" si="537"/>
        <v>0</v>
      </c>
      <c r="AB398" s="24">
        <f t="shared" si="538"/>
        <v>0</v>
      </c>
      <c r="AC398" s="24">
        <f t="shared" si="539"/>
        <v>0</v>
      </c>
      <c r="AD398" s="24">
        <f t="shared" si="540"/>
        <v>0</v>
      </c>
      <c r="AE398" s="24">
        <f t="shared" si="541"/>
        <v>0</v>
      </c>
      <c r="AF398" s="24">
        <f t="shared" si="542"/>
        <v>0</v>
      </c>
      <c r="AG398" s="24">
        <f t="shared" si="543"/>
        <v>0</v>
      </c>
      <c r="AH398" s="24">
        <f t="shared" si="544"/>
        <v>0</v>
      </c>
      <c r="AI398" s="10" t="s">
        <v>43</v>
      </c>
      <c r="AJ398" s="24">
        <f t="shared" si="545"/>
        <v>0</v>
      </c>
      <c r="AK398" s="24">
        <f t="shared" si="546"/>
        <v>0</v>
      </c>
      <c r="AL398" s="24">
        <f t="shared" si="547"/>
        <v>0</v>
      </c>
      <c r="AN398" s="24">
        <v>21</v>
      </c>
      <c r="AO398" s="24">
        <f>G398*0.765258216</f>
        <v>0</v>
      </c>
      <c r="AP398" s="24">
        <f>G398*(1-0.765258216)</f>
        <v>0</v>
      </c>
      <c r="AQ398" s="26" t="s">
        <v>46</v>
      </c>
      <c r="AV398" s="24">
        <f t="shared" si="548"/>
        <v>0</v>
      </c>
      <c r="AW398" s="24">
        <f t="shared" si="549"/>
        <v>0</v>
      </c>
      <c r="AX398" s="24">
        <f t="shared" si="550"/>
        <v>0</v>
      </c>
      <c r="AY398" s="26" t="s">
        <v>1085</v>
      </c>
      <c r="AZ398" s="26" t="s">
        <v>427</v>
      </c>
      <c r="BA398" s="10" t="s">
        <v>52</v>
      </c>
      <c r="BC398" s="24">
        <f t="shared" si="551"/>
        <v>0</v>
      </c>
      <c r="BD398" s="24">
        <f t="shared" si="552"/>
        <v>0</v>
      </c>
      <c r="BE398" s="24">
        <v>0</v>
      </c>
      <c r="BF398" s="24">
        <f>395</f>
        <v>395</v>
      </c>
      <c r="BH398" s="24">
        <f t="shared" si="553"/>
        <v>0</v>
      </c>
      <c r="BI398" s="24">
        <f t="shared" si="554"/>
        <v>0</v>
      </c>
      <c r="BJ398" s="24">
        <f t="shared" si="555"/>
        <v>0</v>
      </c>
      <c r="BK398" s="26" t="s">
        <v>53</v>
      </c>
      <c r="BL398" s="24"/>
      <c r="BW398" s="24">
        <v>21</v>
      </c>
      <c r="BX398" s="4" t="s">
        <v>1103</v>
      </c>
    </row>
    <row r="399" spans="1:76" ht="14.4" x14ac:dyDescent="0.3">
      <c r="A399" s="2" t="s">
        <v>1104</v>
      </c>
      <c r="B399" s="3" t="s">
        <v>1105</v>
      </c>
      <c r="C399" s="82" t="s">
        <v>1106</v>
      </c>
      <c r="D399" s="81"/>
      <c r="E399" s="3" t="s">
        <v>174</v>
      </c>
      <c r="F399" s="24">
        <v>1</v>
      </c>
      <c r="G399" s="180">
        <v>0</v>
      </c>
      <c r="H399" s="24">
        <f t="shared" si="534"/>
        <v>0</v>
      </c>
      <c r="I399" s="24">
        <f t="shared" si="535"/>
        <v>0</v>
      </c>
      <c r="J399" s="24">
        <f t="shared" si="536"/>
        <v>0</v>
      </c>
      <c r="K399" s="25"/>
      <c r="Z399" s="24">
        <f t="shared" si="537"/>
        <v>0</v>
      </c>
      <c r="AB399" s="24">
        <f t="shared" si="538"/>
        <v>0</v>
      </c>
      <c r="AC399" s="24">
        <f t="shared" si="539"/>
        <v>0</v>
      </c>
      <c r="AD399" s="24">
        <f t="shared" si="540"/>
        <v>0</v>
      </c>
      <c r="AE399" s="24">
        <f t="shared" si="541"/>
        <v>0</v>
      </c>
      <c r="AF399" s="24">
        <f t="shared" si="542"/>
        <v>0</v>
      </c>
      <c r="AG399" s="24">
        <f t="shared" si="543"/>
        <v>0</v>
      </c>
      <c r="AH399" s="24">
        <f t="shared" si="544"/>
        <v>0</v>
      </c>
      <c r="AI399" s="10" t="s">
        <v>43</v>
      </c>
      <c r="AJ399" s="24">
        <f t="shared" si="545"/>
        <v>0</v>
      </c>
      <c r="AK399" s="24">
        <f t="shared" si="546"/>
        <v>0</v>
      </c>
      <c r="AL399" s="24">
        <f t="shared" si="547"/>
        <v>0</v>
      </c>
      <c r="AN399" s="24">
        <v>21</v>
      </c>
      <c r="AO399" s="24">
        <f>G399*0.99001996</f>
        <v>0</v>
      </c>
      <c r="AP399" s="24">
        <f>G399*(1-0.99001996)</f>
        <v>0</v>
      </c>
      <c r="AQ399" s="26" t="s">
        <v>46</v>
      </c>
      <c r="AV399" s="24">
        <f t="shared" si="548"/>
        <v>0</v>
      </c>
      <c r="AW399" s="24">
        <f t="shared" si="549"/>
        <v>0</v>
      </c>
      <c r="AX399" s="24">
        <f t="shared" si="550"/>
        <v>0</v>
      </c>
      <c r="AY399" s="26" t="s">
        <v>1085</v>
      </c>
      <c r="AZ399" s="26" t="s">
        <v>427</v>
      </c>
      <c r="BA399" s="10" t="s">
        <v>52</v>
      </c>
      <c r="BC399" s="24">
        <f t="shared" si="551"/>
        <v>0</v>
      </c>
      <c r="BD399" s="24">
        <f t="shared" si="552"/>
        <v>0</v>
      </c>
      <c r="BE399" s="24">
        <v>0</v>
      </c>
      <c r="BF399" s="24">
        <f>396</f>
        <v>396</v>
      </c>
      <c r="BH399" s="24">
        <f t="shared" si="553"/>
        <v>0</v>
      </c>
      <c r="BI399" s="24">
        <f t="shared" si="554"/>
        <v>0</v>
      </c>
      <c r="BJ399" s="24">
        <f t="shared" si="555"/>
        <v>0</v>
      </c>
      <c r="BK399" s="26" t="s">
        <v>53</v>
      </c>
      <c r="BL399" s="24"/>
      <c r="BW399" s="24">
        <v>21</v>
      </c>
      <c r="BX399" s="4" t="s">
        <v>1106</v>
      </c>
    </row>
    <row r="400" spans="1:76" ht="14.4" x14ac:dyDescent="0.3">
      <c r="A400" s="2" t="s">
        <v>1107</v>
      </c>
      <c r="B400" s="3" t="s">
        <v>1108</v>
      </c>
      <c r="C400" s="82" t="s">
        <v>1109</v>
      </c>
      <c r="D400" s="81"/>
      <c r="E400" s="3" t="s">
        <v>174</v>
      </c>
      <c r="F400" s="24">
        <v>1</v>
      </c>
      <c r="G400" s="180">
        <v>0</v>
      </c>
      <c r="H400" s="24">
        <f t="shared" si="534"/>
        <v>0</v>
      </c>
      <c r="I400" s="24">
        <f t="shared" si="535"/>
        <v>0</v>
      </c>
      <c r="J400" s="24">
        <f t="shared" si="536"/>
        <v>0</v>
      </c>
      <c r="K400" s="25"/>
      <c r="Z400" s="24">
        <f t="shared" si="537"/>
        <v>0</v>
      </c>
      <c r="AB400" s="24">
        <f t="shared" si="538"/>
        <v>0</v>
      </c>
      <c r="AC400" s="24">
        <f t="shared" si="539"/>
        <v>0</v>
      </c>
      <c r="AD400" s="24">
        <f t="shared" si="540"/>
        <v>0</v>
      </c>
      <c r="AE400" s="24">
        <f t="shared" si="541"/>
        <v>0</v>
      </c>
      <c r="AF400" s="24">
        <f t="shared" si="542"/>
        <v>0</v>
      </c>
      <c r="AG400" s="24">
        <f t="shared" si="543"/>
        <v>0</v>
      </c>
      <c r="AH400" s="24">
        <f t="shared" si="544"/>
        <v>0</v>
      </c>
      <c r="AI400" s="10" t="s">
        <v>43</v>
      </c>
      <c r="AJ400" s="24">
        <f t="shared" si="545"/>
        <v>0</v>
      </c>
      <c r="AK400" s="24">
        <f t="shared" si="546"/>
        <v>0</v>
      </c>
      <c r="AL400" s="24">
        <f t="shared" si="547"/>
        <v>0</v>
      </c>
      <c r="AN400" s="24">
        <v>21</v>
      </c>
      <c r="AO400" s="24">
        <f>G400*0.5</f>
        <v>0</v>
      </c>
      <c r="AP400" s="24">
        <f>G400*(1-0.5)</f>
        <v>0</v>
      </c>
      <c r="AQ400" s="26" t="s">
        <v>46</v>
      </c>
      <c r="AV400" s="24">
        <f t="shared" si="548"/>
        <v>0</v>
      </c>
      <c r="AW400" s="24">
        <f t="shared" si="549"/>
        <v>0</v>
      </c>
      <c r="AX400" s="24">
        <f t="shared" si="550"/>
        <v>0</v>
      </c>
      <c r="AY400" s="26" t="s">
        <v>1085</v>
      </c>
      <c r="AZ400" s="26" t="s">
        <v>427</v>
      </c>
      <c r="BA400" s="10" t="s">
        <v>52</v>
      </c>
      <c r="BC400" s="24">
        <f t="shared" si="551"/>
        <v>0</v>
      </c>
      <c r="BD400" s="24">
        <f t="shared" si="552"/>
        <v>0</v>
      </c>
      <c r="BE400" s="24">
        <v>0</v>
      </c>
      <c r="BF400" s="24">
        <f>397</f>
        <v>397</v>
      </c>
      <c r="BH400" s="24">
        <f t="shared" si="553"/>
        <v>0</v>
      </c>
      <c r="BI400" s="24">
        <f t="shared" si="554"/>
        <v>0</v>
      </c>
      <c r="BJ400" s="24">
        <f t="shared" si="555"/>
        <v>0</v>
      </c>
      <c r="BK400" s="26" t="s">
        <v>53</v>
      </c>
      <c r="BL400" s="24"/>
      <c r="BW400" s="24">
        <v>21</v>
      </c>
      <c r="BX400" s="4" t="s">
        <v>1109</v>
      </c>
    </row>
    <row r="401" spans="1:76" ht="14.4" x14ac:dyDescent="0.3">
      <c r="A401" s="2" t="s">
        <v>1110</v>
      </c>
      <c r="B401" s="3" t="s">
        <v>1111</v>
      </c>
      <c r="C401" s="82" t="s">
        <v>1112</v>
      </c>
      <c r="D401" s="81"/>
      <c r="E401" s="3" t="s">
        <v>174</v>
      </c>
      <c r="F401" s="24">
        <v>1</v>
      </c>
      <c r="G401" s="180">
        <v>0</v>
      </c>
      <c r="H401" s="24">
        <f t="shared" si="534"/>
        <v>0</v>
      </c>
      <c r="I401" s="24">
        <f t="shared" si="535"/>
        <v>0</v>
      </c>
      <c r="J401" s="24">
        <f t="shared" si="536"/>
        <v>0</v>
      </c>
      <c r="K401" s="25"/>
      <c r="Z401" s="24">
        <f t="shared" si="537"/>
        <v>0</v>
      </c>
      <c r="AB401" s="24">
        <f t="shared" si="538"/>
        <v>0</v>
      </c>
      <c r="AC401" s="24">
        <f t="shared" si="539"/>
        <v>0</v>
      </c>
      <c r="AD401" s="24">
        <f t="shared" si="540"/>
        <v>0</v>
      </c>
      <c r="AE401" s="24">
        <f t="shared" si="541"/>
        <v>0</v>
      </c>
      <c r="AF401" s="24">
        <f t="shared" si="542"/>
        <v>0</v>
      </c>
      <c r="AG401" s="24">
        <f t="shared" si="543"/>
        <v>0</v>
      </c>
      <c r="AH401" s="24">
        <f t="shared" si="544"/>
        <v>0</v>
      </c>
      <c r="AI401" s="10" t="s">
        <v>43</v>
      </c>
      <c r="AJ401" s="24">
        <f t="shared" si="545"/>
        <v>0</v>
      </c>
      <c r="AK401" s="24">
        <f t="shared" si="546"/>
        <v>0</v>
      </c>
      <c r="AL401" s="24">
        <f t="shared" si="547"/>
        <v>0</v>
      </c>
      <c r="AN401" s="24">
        <v>21</v>
      </c>
      <c r="AO401" s="24">
        <f>G401*0.9</f>
        <v>0</v>
      </c>
      <c r="AP401" s="24">
        <f>G401*(1-0.9)</f>
        <v>0</v>
      </c>
      <c r="AQ401" s="26" t="s">
        <v>46</v>
      </c>
      <c r="AV401" s="24">
        <f t="shared" si="548"/>
        <v>0</v>
      </c>
      <c r="AW401" s="24">
        <f t="shared" si="549"/>
        <v>0</v>
      </c>
      <c r="AX401" s="24">
        <f t="shared" si="550"/>
        <v>0</v>
      </c>
      <c r="AY401" s="26" t="s">
        <v>1085</v>
      </c>
      <c r="AZ401" s="26" t="s">
        <v>427</v>
      </c>
      <c r="BA401" s="10" t="s">
        <v>52</v>
      </c>
      <c r="BC401" s="24">
        <f t="shared" si="551"/>
        <v>0</v>
      </c>
      <c r="BD401" s="24">
        <f t="shared" si="552"/>
        <v>0</v>
      </c>
      <c r="BE401" s="24">
        <v>0</v>
      </c>
      <c r="BF401" s="24">
        <f>398</f>
        <v>398</v>
      </c>
      <c r="BH401" s="24">
        <f t="shared" si="553"/>
        <v>0</v>
      </c>
      <c r="BI401" s="24">
        <f t="shared" si="554"/>
        <v>0</v>
      </c>
      <c r="BJ401" s="24">
        <f t="shared" si="555"/>
        <v>0</v>
      </c>
      <c r="BK401" s="26" t="s">
        <v>53</v>
      </c>
      <c r="BL401" s="24"/>
      <c r="BW401" s="24">
        <v>21</v>
      </c>
      <c r="BX401" s="4" t="s">
        <v>1112</v>
      </c>
    </row>
    <row r="402" spans="1:76" ht="14.4" x14ac:dyDescent="0.3">
      <c r="A402" s="2" t="s">
        <v>1113</v>
      </c>
      <c r="B402" s="3" t="s">
        <v>1114</v>
      </c>
      <c r="C402" s="82" t="s">
        <v>1390</v>
      </c>
      <c r="D402" s="81"/>
      <c r="E402" s="3" t="s">
        <v>91</v>
      </c>
      <c r="F402" s="24">
        <v>120</v>
      </c>
      <c r="G402" s="180">
        <v>0</v>
      </c>
      <c r="H402" s="24">
        <f t="shared" si="534"/>
        <v>0</v>
      </c>
      <c r="I402" s="24">
        <f t="shared" si="535"/>
        <v>0</v>
      </c>
      <c r="J402" s="24">
        <f t="shared" si="536"/>
        <v>0</v>
      </c>
      <c r="K402" s="25"/>
      <c r="Z402" s="24">
        <f t="shared" si="537"/>
        <v>0</v>
      </c>
      <c r="AB402" s="24">
        <f t="shared" si="538"/>
        <v>0</v>
      </c>
      <c r="AC402" s="24">
        <f t="shared" si="539"/>
        <v>0</v>
      </c>
      <c r="AD402" s="24">
        <f t="shared" si="540"/>
        <v>0</v>
      </c>
      <c r="AE402" s="24">
        <f t="shared" si="541"/>
        <v>0</v>
      </c>
      <c r="AF402" s="24">
        <f t="shared" si="542"/>
        <v>0</v>
      </c>
      <c r="AG402" s="24">
        <f t="shared" si="543"/>
        <v>0</v>
      </c>
      <c r="AH402" s="24">
        <f t="shared" si="544"/>
        <v>0</v>
      </c>
      <c r="AI402" s="10" t="s">
        <v>43</v>
      </c>
      <c r="AJ402" s="24">
        <f t="shared" si="545"/>
        <v>0</v>
      </c>
      <c r="AK402" s="24">
        <f t="shared" si="546"/>
        <v>0</v>
      </c>
      <c r="AL402" s="24">
        <f t="shared" si="547"/>
        <v>0</v>
      </c>
      <c r="AN402" s="24">
        <v>21</v>
      </c>
      <c r="AO402" s="24">
        <f>G402*0.511111111</f>
        <v>0</v>
      </c>
      <c r="AP402" s="24">
        <f>G402*(1-0.511111111)</f>
        <v>0</v>
      </c>
      <c r="AQ402" s="26" t="s">
        <v>46</v>
      </c>
      <c r="AV402" s="24">
        <f t="shared" si="548"/>
        <v>0</v>
      </c>
      <c r="AW402" s="24">
        <f t="shared" si="549"/>
        <v>0</v>
      </c>
      <c r="AX402" s="24">
        <f t="shared" si="550"/>
        <v>0</v>
      </c>
      <c r="AY402" s="26" t="s">
        <v>1085</v>
      </c>
      <c r="AZ402" s="26" t="s">
        <v>427</v>
      </c>
      <c r="BA402" s="10" t="s">
        <v>52</v>
      </c>
      <c r="BC402" s="24">
        <f t="shared" si="551"/>
        <v>0</v>
      </c>
      <c r="BD402" s="24">
        <f t="shared" si="552"/>
        <v>0</v>
      </c>
      <c r="BE402" s="24">
        <v>0</v>
      </c>
      <c r="BF402" s="24">
        <f>399</f>
        <v>399</v>
      </c>
      <c r="BH402" s="24">
        <f t="shared" si="553"/>
        <v>0</v>
      </c>
      <c r="BI402" s="24">
        <f t="shared" si="554"/>
        <v>0</v>
      </c>
      <c r="BJ402" s="24">
        <f t="shared" si="555"/>
        <v>0</v>
      </c>
      <c r="BK402" s="26" t="s">
        <v>53</v>
      </c>
      <c r="BL402" s="24"/>
      <c r="BW402" s="24">
        <v>21</v>
      </c>
      <c r="BX402" s="4" t="s">
        <v>1115</v>
      </c>
    </row>
    <row r="403" spans="1:76" ht="26.4" x14ac:dyDescent="0.3">
      <c r="A403" s="2" t="s">
        <v>1116</v>
      </c>
      <c r="B403" s="3" t="s">
        <v>1117</v>
      </c>
      <c r="C403" s="82" t="s">
        <v>1391</v>
      </c>
      <c r="D403" s="81"/>
      <c r="E403" s="3" t="s">
        <v>91</v>
      </c>
      <c r="F403" s="24">
        <v>150</v>
      </c>
      <c r="G403" s="180">
        <v>0</v>
      </c>
      <c r="H403" s="24">
        <f t="shared" si="534"/>
        <v>0</v>
      </c>
      <c r="I403" s="24">
        <f t="shared" si="535"/>
        <v>0</v>
      </c>
      <c r="J403" s="24">
        <f t="shared" si="536"/>
        <v>0</v>
      </c>
      <c r="K403" s="25"/>
      <c r="Z403" s="24">
        <f t="shared" si="537"/>
        <v>0</v>
      </c>
      <c r="AB403" s="24">
        <f t="shared" si="538"/>
        <v>0</v>
      </c>
      <c r="AC403" s="24">
        <f t="shared" si="539"/>
        <v>0</v>
      </c>
      <c r="AD403" s="24">
        <f t="shared" si="540"/>
        <v>0</v>
      </c>
      <c r="AE403" s="24">
        <f t="shared" si="541"/>
        <v>0</v>
      </c>
      <c r="AF403" s="24">
        <f t="shared" si="542"/>
        <v>0</v>
      </c>
      <c r="AG403" s="24">
        <f t="shared" si="543"/>
        <v>0</v>
      </c>
      <c r="AH403" s="24">
        <f t="shared" si="544"/>
        <v>0</v>
      </c>
      <c r="AI403" s="10" t="s">
        <v>43</v>
      </c>
      <c r="AJ403" s="24">
        <f t="shared" si="545"/>
        <v>0</v>
      </c>
      <c r="AK403" s="24">
        <f t="shared" si="546"/>
        <v>0</v>
      </c>
      <c r="AL403" s="24">
        <f t="shared" si="547"/>
        <v>0</v>
      </c>
      <c r="AN403" s="24">
        <v>21</v>
      </c>
      <c r="AO403" s="24">
        <f>G403*0.615384615</f>
        <v>0</v>
      </c>
      <c r="AP403" s="24">
        <f>G403*(1-0.615384615)</f>
        <v>0</v>
      </c>
      <c r="AQ403" s="26" t="s">
        <v>46</v>
      </c>
      <c r="AV403" s="24">
        <f t="shared" si="548"/>
        <v>0</v>
      </c>
      <c r="AW403" s="24">
        <f t="shared" si="549"/>
        <v>0</v>
      </c>
      <c r="AX403" s="24">
        <f t="shared" si="550"/>
        <v>0</v>
      </c>
      <c r="AY403" s="26" t="s">
        <v>1085</v>
      </c>
      <c r="AZ403" s="26" t="s">
        <v>427</v>
      </c>
      <c r="BA403" s="10" t="s">
        <v>52</v>
      </c>
      <c r="BC403" s="24">
        <f t="shared" si="551"/>
        <v>0</v>
      </c>
      <c r="BD403" s="24">
        <f t="shared" si="552"/>
        <v>0</v>
      </c>
      <c r="BE403" s="24">
        <v>0</v>
      </c>
      <c r="BF403" s="24">
        <f>400</f>
        <v>400</v>
      </c>
      <c r="BH403" s="24">
        <f t="shared" si="553"/>
        <v>0</v>
      </c>
      <c r="BI403" s="24">
        <f t="shared" si="554"/>
        <v>0</v>
      </c>
      <c r="BJ403" s="24">
        <f t="shared" si="555"/>
        <v>0</v>
      </c>
      <c r="BK403" s="26" t="s">
        <v>53</v>
      </c>
      <c r="BL403" s="24"/>
      <c r="BW403" s="24">
        <v>21</v>
      </c>
      <c r="BX403" s="4" t="s">
        <v>1118</v>
      </c>
    </row>
    <row r="404" spans="1:76" ht="14.4" x14ac:dyDescent="0.3">
      <c r="A404" s="2" t="s">
        <v>1119</v>
      </c>
      <c r="B404" s="3" t="s">
        <v>1120</v>
      </c>
      <c r="C404" s="82" t="s">
        <v>1392</v>
      </c>
      <c r="D404" s="81"/>
      <c r="E404" s="3" t="s">
        <v>91</v>
      </c>
      <c r="F404" s="24">
        <v>120</v>
      </c>
      <c r="G404" s="180">
        <v>0</v>
      </c>
      <c r="H404" s="24">
        <f t="shared" si="534"/>
        <v>0</v>
      </c>
      <c r="I404" s="24">
        <f t="shared" si="535"/>
        <v>0</v>
      </c>
      <c r="J404" s="24">
        <f t="shared" si="536"/>
        <v>0</v>
      </c>
      <c r="K404" s="25"/>
      <c r="Z404" s="24">
        <f t="shared" si="537"/>
        <v>0</v>
      </c>
      <c r="AB404" s="24">
        <f t="shared" si="538"/>
        <v>0</v>
      </c>
      <c r="AC404" s="24">
        <f t="shared" si="539"/>
        <v>0</v>
      </c>
      <c r="AD404" s="24">
        <f t="shared" si="540"/>
        <v>0</v>
      </c>
      <c r="AE404" s="24">
        <f t="shared" si="541"/>
        <v>0</v>
      </c>
      <c r="AF404" s="24">
        <f t="shared" si="542"/>
        <v>0</v>
      </c>
      <c r="AG404" s="24">
        <f t="shared" si="543"/>
        <v>0</v>
      </c>
      <c r="AH404" s="24">
        <f t="shared" si="544"/>
        <v>0</v>
      </c>
      <c r="AI404" s="10" t="s">
        <v>43</v>
      </c>
      <c r="AJ404" s="24">
        <f t="shared" si="545"/>
        <v>0</v>
      </c>
      <c r="AK404" s="24">
        <f t="shared" si="546"/>
        <v>0</v>
      </c>
      <c r="AL404" s="24">
        <f t="shared" si="547"/>
        <v>0</v>
      </c>
      <c r="AN404" s="24">
        <v>21</v>
      </c>
      <c r="AO404" s="24">
        <f>G404*0.705882353</f>
        <v>0</v>
      </c>
      <c r="AP404" s="24">
        <f>G404*(1-0.705882353)</f>
        <v>0</v>
      </c>
      <c r="AQ404" s="26" t="s">
        <v>46</v>
      </c>
      <c r="AV404" s="24">
        <f t="shared" si="548"/>
        <v>0</v>
      </c>
      <c r="AW404" s="24">
        <f t="shared" si="549"/>
        <v>0</v>
      </c>
      <c r="AX404" s="24">
        <f t="shared" si="550"/>
        <v>0</v>
      </c>
      <c r="AY404" s="26" t="s">
        <v>1085</v>
      </c>
      <c r="AZ404" s="26" t="s">
        <v>427</v>
      </c>
      <c r="BA404" s="10" t="s">
        <v>52</v>
      </c>
      <c r="BC404" s="24">
        <f t="shared" si="551"/>
        <v>0</v>
      </c>
      <c r="BD404" s="24">
        <f t="shared" si="552"/>
        <v>0</v>
      </c>
      <c r="BE404" s="24">
        <v>0</v>
      </c>
      <c r="BF404" s="24">
        <f>401</f>
        <v>401</v>
      </c>
      <c r="BH404" s="24">
        <f t="shared" si="553"/>
        <v>0</v>
      </c>
      <c r="BI404" s="24">
        <f t="shared" si="554"/>
        <v>0</v>
      </c>
      <c r="BJ404" s="24">
        <f t="shared" si="555"/>
        <v>0</v>
      </c>
      <c r="BK404" s="26" t="s">
        <v>53</v>
      </c>
      <c r="BL404" s="24"/>
      <c r="BW404" s="24">
        <v>21</v>
      </c>
      <c r="BX404" s="4" t="s">
        <v>1121</v>
      </c>
    </row>
    <row r="405" spans="1:76" ht="14.4" x14ac:dyDescent="0.3">
      <c r="A405" s="2" t="s">
        <v>1122</v>
      </c>
      <c r="B405" s="3" t="s">
        <v>1123</v>
      </c>
      <c r="C405" s="82" t="s">
        <v>1124</v>
      </c>
      <c r="D405" s="81"/>
      <c r="E405" s="3" t="s">
        <v>91</v>
      </c>
      <c r="F405" s="24">
        <v>80</v>
      </c>
      <c r="G405" s="180">
        <v>0</v>
      </c>
      <c r="H405" s="24">
        <f t="shared" si="534"/>
        <v>0</v>
      </c>
      <c r="I405" s="24">
        <f t="shared" si="535"/>
        <v>0</v>
      </c>
      <c r="J405" s="24">
        <f t="shared" si="536"/>
        <v>0</v>
      </c>
      <c r="K405" s="25"/>
      <c r="Z405" s="24">
        <f t="shared" si="537"/>
        <v>0</v>
      </c>
      <c r="AB405" s="24">
        <f t="shared" si="538"/>
        <v>0</v>
      </c>
      <c r="AC405" s="24">
        <f t="shared" si="539"/>
        <v>0</v>
      </c>
      <c r="AD405" s="24">
        <f t="shared" si="540"/>
        <v>0</v>
      </c>
      <c r="AE405" s="24">
        <f t="shared" si="541"/>
        <v>0</v>
      </c>
      <c r="AF405" s="24">
        <f t="shared" si="542"/>
        <v>0</v>
      </c>
      <c r="AG405" s="24">
        <f t="shared" si="543"/>
        <v>0</v>
      </c>
      <c r="AH405" s="24">
        <f t="shared" si="544"/>
        <v>0</v>
      </c>
      <c r="AI405" s="10" t="s">
        <v>43</v>
      </c>
      <c r="AJ405" s="24">
        <f t="shared" si="545"/>
        <v>0</v>
      </c>
      <c r="AK405" s="24">
        <f t="shared" si="546"/>
        <v>0</v>
      </c>
      <c r="AL405" s="24">
        <f t="shared" si="547"/>
        <v>0</v>
      </c>
      <c r="AN405" s="24">
        <v>21</v>
      </c>
      <c r="AO405" s="24">
        <f>G405*0.774193548</f>
        <v>0</v>
      </c>
      <c r="AP405" s="24">
        <f>G405*(1-0.774193548)</f>
        <v>0</v>
      </c>
      <c r="AQ405" s="26" t="s">
        <v>46</v>
      </c>
      <c r="AV405" s="24">
        <f t="shared" si="548"/>
        <v>0</v>
      </c>
      <c r="AW405" s="24">
        <f t="shared" si="549"/>
        <v>0</v>
      </c>
      <c r="AX405" s="24">
        <f t="shared" si="550"/>
        <v>0</v>
      </c>
      <c r="AY405" s="26" t="s">
        <v>1085</v>
      </c>
      <c r="AZ405" s="26" t="s">
        <v>427</v>
      </c>
      <c r="BA405" s="10" t="s">
        <v>52</v>
      </c>
      <c r="BC405" s="24">
        <f t="shared" si="551"/>
        <v>0</v>
      </c>
      <c r="BD405" s="24">
        <f t="shared" si="552"/>
        <v>0</v>
      </c>
      <c r="BE405" s="24">
        <v>0</v>
      </c>
      <c r="BF405" s="24">
        <f>402</f>
        <v>402</v>
      </c>
      <c r="BH405" s="24">
        <f t="shared" si="553"/>
        <v>0</v>
      </c>
      <c r="BI405" s="24">
        <f t="shared" si="554"/>
        <v>0</v>
      </c>
      <c r="BJ405" s="24">
        <f t="shared" si="555"/>
        <v>0</v>
      </c>
      <c r="BK405" s="26" t="s">
        <v>53</v>
      </c>
      <c r="BL405" s="24"/>
      <c r="BW405" s="24">
        <v>21</v>
      </c>
      <c r="BX405" s="4" t="s">
        <v>1124</v>
      </c>
    </row>
    <row r="406" spans="1:76" ht="14.4" x14ac:dyDescent="0.3">
      <c r="A406" s="2" t="s">
        <v>1125</v>
      </c>
      <c r="B406" s="3" t="s">
        <v>1126</v>
      </c>
      <c r="C406" s="82" t="s">
        <v>1127</v>
      </c>
      <c r="D406" s="81"/>
      <c r="E406" s="3" t="s">
        <v>174</v>
      </c>
      <c r="F406" s="24">
        <v>240</v>
      </c>
      <c r="G406" s="180">
        <v>0</v>
      </c>
      <c r="H406" s="24">
        <f t="shared" si="534"/>
        <v>0</v>
      </c>
      <c r="I406" s="24">
        <f t="shared" si="535"/>
        <v>0</v>
      </c>
      <c r="J406" s="24">
        <f t="shared" si="536"/>
        <v>0</v>
      </c>
      <c r="K406" s="25"/>
      <c r="Z406" s="24">
        <f t="shared" si="537"/>
        <v>0</v>
      </c>
      <c r="AB406" s="24">
        <f t="shared" si="538"/>
        <v>0</v>
      </c>
      <c r="AC406" s="24">
        <f t="shared" si="539"/>
        <v>0</v>
      </c>
      <c r="AD406" s="24">
        <f t="shared" si="540"/>
        <v>0</v>
      </c>
      <c r="AE406" s="24">
        <f t="shared" si="541"/>
        <v>0</v>
      </c>
      <c r="AF406" s="24">
        <f t="shared" si="542"/>
        <v>0</v>
      </c>
      <c r="AG406" s="24">
        <f t="shared" si="543"/>
        <v>0</v>
      </c>
      <c r="AH406" s="24">
        <f t="shared" si="544"/>
        <v>0</v>
      </c>
      <c r="AI406" s="10" t="s">
        <v>43</v>
      </c>
      <c r="AJ406" s="24">
        <f t="shared" si="545"/>
        <v>0</v>
      </c>
      <c r="AK406" s="24">
        <f t="shared" si="546"/>
        <v>0</v>
      </c>
      <c r="AL406" s="24">
        <f t="shared" si="547"/>
        <v>0</v>
      </c>
      <c r="AN406" s="24">
        <v>21</v>
      </c>
      <c r="AO406" s="24">
        <f>G406*0.533333333</f>
        <v>0</v>
      </c>
      <c r="AP406" s="24">
        <f>G406*(1-0.533333333)</f>
        <v>0</v>
      </c>
      <c r="AQ406" s="26" t="s">
        <v>46</v>
      </c>
      <c r="AV406" s="24">
        <f t="shared" si="548"/>
        <v>0</v>
      </c>
      <c r="AW406" s="24">
        <f t="shared" si="549"/>
        <v>0</v>
      </c>
      <c r="AX406" s="24">
        <f t="shared" si="550"/>
        <v>0</v>
      </c>
      <c r="AY406" s="26" t="s">
        <v>1085</v>
      </c>
      <c r="AZ406" s="26" t="s">
        <v>427</v>
      </c>
      <c r="BA406" s="10" t="s">
        <v>52</v>
      </c>
      <c r="BC406" s="24">
        <f t="shared" si="551"/>
        <v>0</v>
      </c>
      <c r="BD406" s="24">
        <f t="shared" si="552"/>
        <v>0</v>
      </c>
      <c r="BE406" s="24">
        <v>0</v>
      </c>
      <c r="BF406" s="24">
        <f>403</f>
        <v>403</v>
      </c>
      <c r="BH406" s="24">
        <f t="shared" si="553"/>
        <v>0</v>
      </c>
      <c r="BI406" s="24">
        <f t="shared" si="554"/>
        <v>0</v>
      </c>
      <c r="BJ406" s="24">
        <f t="shared" si="555"/>
        <v>0</v>
      </c>
      <c r="BK406" s="26" t="s">
        <v>53</v>
      </c>
      <c r="BL406" s="24"/>
      <c r="BW406" s="24">
        <v>21</v>
      </c>
      <c r="BX406" s="4" t="s">
        <v>1127</v>
      </c>
    </row>
    <row r="407" spans="1:76" ht="14.4" x14ac:dyDescent="0.3">
      <c r="A407" s="2" t="s">
        <v>1128</v>
      </c>
      <c r="B407" s="3" t="s">
        <v>1129</v>
      </c>
      <c r="C407" s="82" t="s">
        <v>1130</v>
      </c>
      <c r="D407" s="81"/>
      <c r="E407" s="3" t="s">
        <v>174</v>
      </c>
      <c r="F407" s="24">
        <v>2</v>
      </c>
      <c r="G407" s="180">
        <v>0</v>
      </c>
      <c r="H407" s="24">
        <f t="shared" si="534"/>
        <v>0</v>
      </c>
      <c r="I407" s="24">
        <f t="shared" si="535"/>
        <v>0</v>
      </c>
      <c r="J407" s="24">
        <f t="shared" si="536"/>
        <v>0</v>
      </c>
      <c r="K407" s="25"/>
      <c r="Z407" s="24">
        <f t="shared" si="537"/>
        <v>0</v>
      </c>
      <c r="AB407" s="24">
        <f t="shared" si="538"/>
        <v>0</v>
      </c>
      <c r="AC407" s="24">
        <f t="shared" si="539"/>
        <v>0</v>
      </c>
      <c r="AD407" s="24">
        <f t="shared" si="540"/>
        <v>0</v>
      </c>
      <c r="AE407" s="24">
        <f t="shared" si="541"/>
        <v>0</v>
      </c>
      <c r="AF407" s="24">
        <f t="shared" si="542"/>
        <v>0</v>
      </c>
      <c r="AG407" s="24">
        <f t="shared" si="543"/>
        <v>0</v>
      </c>
      <c r="AH407" s="24">
        <f t="shared" si="544"/>
        <v>0</v>
      </c>
      <c r="AI407" s="10" t="s">
        <v>43</v>
      </c>
      <c r="AJ407" s="24">
        <f t="shared" si="545"/>
        <v>0</v>
      </c>
      <c r="AK407" s="24">
        <f t="shared" si="546"/>
        <v>0</v>
      </c>
      <c r="AL407" s="24">
        <f t="shared" si="547"/>
        <v>0</v>
      </c>
      <c r="AN407" s="24">
        <v>21</v>
      </c>
      <c r="AO407" s="24">
        <f>G407*0.740566038</f>
        <v>0</v>
      </c>
      <c r="AP407" s="24">
        <f>G407*(1-0.740566038)</f>
        <v>0</v>
      </c>
      <c r="AQ407" s="26" t="s">
        <v>46</v>
      </c>
      <c r="AV407" s="24">
        <f t="shared" si="548"/>
        <v>0</v>
      </c>
      <c r="AW407" s="24">
        <f t="shared" si="549"/>
        <v>0</v>
      </c>
      <c r="AX407" s="24">
        <f t="shared" si="550"/>
        <v>0</v>
      </c>
      <c r="AY407" s="26" t="s">
        <v>1085</v>
      </c>
      <c r="AZ407" s="26" t="s">
        <v>427</v>
      </c>
      <c r="BA407" s="10" t="s">
        <v>52</v>
      </c>
      <c r="BC407" s="24">
        <f t="shared" si="551"/>
        <v>0</v>
      </c>
      <c r="BD407" s="24">
        <f t="shared" si="552"/>
        <v>0</v>
      </c>
      <c r="BE407" s="24">
        <v>0</v>
      </c>
      <c r="BF407" s="24">
        <f>404</f>
        <v>404</v>
      </c>
      <c r="BH407" s="24">
        <f t="shared" si="553"/>
        <v>0</v>
      </c>
      <c r="BI407" s="24">
        <f t="shared" si="554"/>
        <v>0</v>
      </c>
      <c r="BJ407" s="24">
        <f t="shared" si="555"/>
        <v>0</v>
      </c>
      <c r="BK407" s="26" t="s">
        <v>53</v>
      </c>
      <c r="BL407" s="24"/>
      <c r="BW407" s="24">
        <v>21</v>
      </c>
      <c r="BX407" s="4" t="s">
        <v>1130</v>
      </c>
    </row>
    <row r="408" spans="1:76" ht="14.4" x14ac:dyDescent="0.3">
      <c r="A408" s="2" t="s">
        <v>1131</v>
      </c>
      <c r="B408" s="3" t="s">
        <v>1132</v>
      </c>
      <c r="C408" s="82" t="s">
        <v>1133</v>
      </c>
      <c r="D408" s="81"/>
      <c r="E408" s="3" t="s">
        <v>91</v>
      </c>
      <c r="F408" s="24">
        <v>120</v>
      </c>
      <c r="G408" s="180">
        <v>0</v>
      </c>
      <c r="H408" s="24">
        <f t="shared" si="534"/>
        <v>0</v>
      </c>
      <c r="I408" s="24">
        <f t="shared" si="535"/>
        <v>0</v>
      </c>
      <c r="J408" s="24">
        <f t="shared" si="536"/>
        <v>0</v>
      </c>
      <c r="K408" s="25"/>
      <c r="Z408" s="24">
        <f t="shared" si="537"/>
        <v>0</v>
      </c>
      <c r="AB408" s="24">
        <f t="shared" si="538"/>
        <v>0</v>
      </c>
      <c r="AC408" s="24">
        <f t="shared" si="539"/>
        <v>0</v>
      </c>
      <c r="AD408" s="24">
        <f t="shared" si="540"/>
        <v>0</v>
      </c>
      <c r="AE408" s="24">
        <f t="shared" si="541"/>
        <v>0</v>
      </c>
      <c r="AF408" s="24">
        <f t="shared" si="542"/>
        <v>0</v>
      </c>
      <c r="AG408" s="24">
        <f t="shared" si="543"/>
        <v>0</v>
      </c>
      <c r="AH408" s="24">
        <f t="shared" si="544"/>
        <v>0</v>
      </c>
      <c r="AI408" s="10" t="s">
        <v>43</v>
      </c>
      <c r="AJ408" s="24">
        <f t="shared" si="545"/>
        <v>0</v>
      </c>
      <c r="AK408" s="24">
        <f t="shared" si="546"/>
        <v>0</v>
      </c>
      <c r="AL408" s="24">
        <f t="shared" si="547"/>
        <v>0</v>
      </c>
      <c r="AN408" s="24">
        <v>21</v>
      </c>
      <c r="AO408" s="24">
        <f>G408*0.651162791</f>
        <v>0</v>
      </c>
      <c r="AP408" s="24">
        <f>G408*(1-0.651162791)</f>
        <v>0</v>
      </c>
      <c r="AQ408" s="26" t="s">
        <v>46</v>
      </c>
      <c r="AV408" s="24">
        <f t="shared" si="548"/>
        <v>0</v>
      </c>
      <c r="AW408" s="24">
        <f t="shared" si="549"/>
        <v>0</v>
      </c>
      <c r="AX408" s="24">
        <f t="shared" si="550"/>
        <v>0</v>
      </c>
      <c r="AY408" s="26" t="s">
        <v>1085</v>
      </c>
      <c r="AZ408" s="26" t="s">
        <v>427</v>
      </c>
      <c r="BA408" s="10" t="s">
        <v>52</v>
      </c>
      <c r="BC408" s="24">
        <f t="shared" si="551"/>
        <v>0</v>
      </c>
      <c r="BD408" s="24">
        <f t="shared" si="552"/>
        <v>0</v>
      </c>
      <c r="BE408" s="24">
        <v>0</v>
      </c>
      <c r="BF408" s="24">
        <f>405</f>
        <v>405</v>
      </c>
      <c r="BH408" s="24">
        <f t="shared" si="553"/>
        <v>0</v>
      </c>
      <c r="BI408" s="24">
        <f t="shared" si="554"/>
        <v>0</v>
      </c>
      <c r="BJ408" s="24">
        <f t="shared" si="555"/>
        <v>0</v>
      </c>
      <c r="BK408" s="26" t="s">
        <v>53</v>
      </c>
      <c r="BL408" s="24"/>
      <c r="BW408" s="24">
        <v>21</v>
      </c>
      <c r="BX408" s="4" t="s">
        <v>1133</v>
      </c>
    </row>
    <row r="409" spans="1:76" ht="14.4" x14ac:dyDescent="0.3">
      <c r="A409" s="2" t="s">
        <v>1134</v>
      </c>
      <c r="B409" s="3" t="s">
        <v>1135</v>
      </c>
      <c r="C409" s="82" t="s">
        <v>1136</v>
      </c>
      <c r="D409" s="81"/>
      <c r="E409" s="3" t="s">
        <v>174</v>
      </c>
      <c r="F409" s="24">
        <v>1</v>
      </c>
      <c r="G409" s="180">
        <v>0</v>
      </c>
      <c r="H409" s="24">
        <f t="shared" si="534"/>
        <v>0</v>
      </c>
      <c r="I409" s="24">
        <f t="shared" si="535"/>
        <v>0</v>
      </c>
      <c r="J409" s="24">
        <f t="shared" si="536"/>
        <v>0</v>
      </c>
      <c r="K409" s="25"/>
      <c r="Z409" s="24">
        <f t="shared" si="537"/>
        <v>0</v>
      </c>
      <c r="AB409" s="24">
        <f t="shared" si="538"/>
        <v>0</v>
      </c>
      <c r="AC409" s="24">
        <f t="shared" si="539"/>
        <v>0</v>
      </c>
      <c r="AD409" s="24">
        <f t="shared" si="540"/>
        <v>0</v>
      </c>
      <c r="AE409" s="24">
        <f t="shared" si="541"/>
        <v>0</v>
      </c>
      <c r="AF409" s="24">
        <f t="shared" si="542"/>
        <v>0</v>
      </c>
      <c r="AG409" s="24">
        <f t="shared" si="543"/>
        <v>0</v>
      </c>
      <c r="AH409" s="24">
        <f t="shared" si="544"/>
        <v>0</v>
      </c>
      <c r="AI409" s="10" t="s">
        <v>43</v>
      </c>
      <c r="AJ409" s="24">
        <f t="shared" si="545"/>
        <v>0</v>
      </c>
      <c r="AK409" s="24">
        <f t="shared" si="546"/>
        <v>0</v>
      </c>
      <c r="AL409" s="24">
        <f t="shared" si="547"/>
        <v>0</v>
      </c>
      <c r="AN409" s="24">
        <v>21</v>
      </c>
      <c r="AO409" s="24">
        <f>G409*0.555555556</f>
        <v>0</v>
      </c>
      <c r="AP409" s="24">
        <f>G409*(1-0.555555556)</f>
        <v>0</v>
      </c>
      <c r="AQ409" s="26" t="s">
        <v>46</v>
      </c>
      <c r="AV409" s="24">
        <f t="shared" si="548"/>
        <v>0</v>
      </c>
      <c r="AW409" s="24">
        <f t="shared" si="549"/>
        <v>0</v>
      </c>
      <c r="AX409" s="24">
        <f t="shared" si="550"/>
        <v>0</v>
      </c>
      <c r="AY409" s="26" t="s">
        <v>1085</v>
      </c>
      <c r="AZ409" s="26" t="s">
        <v>427</v>
      </c>
      <c r="BA409" s="10" t="s">
        <v>52</v>
      </c>
      <c r="BC409" s="24">
        <f t="shared" si="551"/>
        <v>0</v>
      </c>
      <c r="BD409" s="24">
        <f t="shared" si="552"/>
        <v>0</v>
      </c>
      <c r="BE409" s="24">
        <v>0</v>
      </c>
      <c r="BF409" s="24">
        <f>406</f>
        <v>406</v>
      </c>
      <c r="BH409" s="24">
        <f t="shared" si="553"/>
        <v>0</v>
      </c>
      <c r="BI409" s="24">
        <f t="shared" si="554"/>
        <v>0</v>
      </c>
      <c r="BJ409" s="24">
        <f t="shared" si="555"/>
        <v>0</v>
      </c>
      <c r="BK409" s="26" t="s">
        <v>53</v>
      </c>
      <c r="BL409" s="24"/>
      <c r="BW409" s="24">
        <v>21</v>
      </c>
      <c r="BX409" s="4" t="s">
        <v>1136</v>
      </c>
    </row>
    <row r="410" spans="1:76" ht="14.4" x14ac:dyDescent="0.3">
      <c r="A410" s="2" t="s">
        <v>1137</v>
      </c>
      <c r="B410" s="3" t="s">
        <v>1138</v>
      </c>
      <c r="C410" s="82" t="s">
        <v>1139</v>
      </c>
      <c r="D410" s="81"/>
      <c r="E410" s="3" t="s">
        <v>91</v>
      </c>
      <c r="F410" s="24">
        <v>120</v>
      </c>
      <c r="G410" s="180">
        <v>0</v>
      </c>
      <c r="H410" s="24">
        <f t="shared" si="534"/>
        <v>0</v>
      </c>
      <c r="I410" s="24">
        <f t="shared" si="535"/>
        <v>0</v>
      </c>
      <c r="J410" s="24">
        <f t="shared" si="536"/>
        <v>0</v>
      </c>
      <c r="K410" s="25"/>
      <c r="Z410" s="24">
        <f t="shared" si="537"/>
        <v>0</v>
      </c>
      <c r="AB410" s="24">
        <f t="shared" si="538"/>
        <v>0</v>
      </c>
      <c r="AC410" s="24">
        <f t="shared" si="539"/>
        <v>0</v>
      </c>
      <c r="AD410" s="24">
        <f t="shared" si="540"/>
        <v>0</v>
      </c>
      <c r="AE410" s="24">
        <f t="shared" si="541"/>
        <v>0</v>
      </c>
      <c r="AF410" s="24">
        <f t="shared" si="542"/>
        <v>0</v>
      </c>
      <c r="AG410" s="24">
        <f t="shared" si="543"/>
        <v>0</v>
      </c>
      <c r="AH410" s="24">
        <f t="shared" si="544"/>
        <v>0</v>
      </c>
      <c r="AI410" s="10" t="s">
        <v>43</v>
      </c>
      <c r="AJ410" s="24">
        <f t="shared" si="545"/>
        <v>0</v>
      </c>
      <c r="AK410" s="24">
        <f t="shared" si="546"/>
        <v>0</v>
      </c>
      <c r="AL410" s="24">
        <f t="shared" si="547"/>
        <v>0</v>
      </c>
      <c r="AN410" s="24">
        <v>21</v>
      </c>
      <c r="AO410" s="24">
        <f>G410*0.585365854</f>
        <v>0</v>
      </c>
      <c r="AP410" s="24">
        <f>G410*(1-0.585365854)</f>
        <v>0</v>
      </c>
      <c r="AQ410" s="26" t="s">
        <v>46</v>
      </c>
      <c r="AV410" s="24">
        <f t="shared" si="548"/>
        <v>0</v>
      </c>
      <c r="AW410" s="24">
        <f t="shared" si="549"/>
        <v>0</v>
      </c>
      <c r="AX410" s="24">
        <f t="shared" si="550"/>
        <v>0</v>
      </c>
      <c r="AY410" s="26" t="s">
        <v>1085</v>
      </c>
      <c r="AZ410" s="26" t="s">
        <v>427</v>
      </c>
      <c r="BA410" s="10" t="s">
        <v>52</v>
      </c>
      <c r="BC410" s="24">
        <f t="shared" si="551"/>
        <v>0</v>
      </c>
      <c r="BD410" s="24">
        <f t="shared" si="552"/>
        <v>0</v>
      </c>
      <c r="BE410" s="24">
        <v>0</v>
      </c>
      <c r="BF410" s="24">
        <f>407</f>
        <v>407</v>
      </c>
      <c r="BH410" s="24">
        <f t="shared" si="553"/>
        <v>0</v>
      </c>
      <c r="BI410" s="24">
        <f t="shared" si="554"/>
        <v>0</v>
      </c>
      <c r="BJ410" s="24">
        <f t="shared" si="555"/>
        <v>0</v>
      </c>
      <c r="BK410" s="26" t="s">
        <v>53</v>
      </c>
      <c r="BL410" s="24"/>
      <c r="BW410" s="24">
        <v>21</v>
      </c>
      <c r="BX410" s="4" t="s">
        <v>1139</v>
      </c>
    </row>
    <row r="411" spans="1:76" ht="26.4" x14ac:dyDescent="0.3">
      <c r="A411" s="2" t="s">
        <v>1140</v>
      </c>
      <c r="B411" s="3" t="s">
        <v>1141</v>
      </c>
      <c r="C411" s="82" t="s">
        <v>1142</v>
      </c>
      <c r="D411" s="81"/>
      <c r="E411" s="3" t="s">
        <v>174</v>
      </c>
      <c r="F411" s="24">
        <v>4</v>
      </c>
      <c r="G411" s="180">
        <v>0</v>
      </c>
      <c r="H411" s="24">
        <f t="shared" si="534"/>
        <v>0</v>
      </c>
      <c r="I411" s="24">
        <f t="shared" si="535"/>
        <v>0</v>
      </c>
      <c r="J411" s="24">
        <f t="shared" si="536"/>
        <v>0</v>
      </c>
      <c r="K411" s="25"/>
      <c r="Z411" s="24">
        <f t="shared" si="537"/>
        <v>0</v>
      </c>
      <c r="AB411" s="24">
        <f t="shared" si="538"/>
        <v>0</v>
      </c>
      <c r="AC411" s="24">
        <f t="shared" si="539"/>
        <v>0</v>
      </c>
      <c r="AD411" s="24">
        <f t="shared" si="540"/>
        <v>0</v>
      </c>
      <c r="AE411" s="24">
        <f t="shared" si="541"/>
        <v>0</v>
      </c>
      <c r="AF411" s="24">
        <f t="shared" si="542"/>
        <v>0</v>
      </c>
      <c r="AG411" s="24">
        <f t="shared" si="543"/>
        <v>0</v>
      </c>
      <c r="AH411" s="24">
        <f t="shared" si="544"/>
        <v>0</v>
      </c>
      <c r="AI411" s="10" t="s">
        <v>43</v>
      </c>
      <c r="AJ411" s="24">
        <f t="shared" si="545"/>
        <v>0</v>
      </c>
      <c r="AK411" s="24">
        <f t="shared" si="546"/>
        <v>0</v>
      </c>
      <c r="AL411" s="24">
        <f t="shared" si="547"/>
        <v>0</v>
      </c>
      <c r="AN411" s="24">
        <v>21</v>
      </c>
      <c r="AO411" s="24">
        <f>G411*0.4</f>
        <v>0</v>
      </c>
      <c r="AP411" s="24">
        <f>G411*(1-0.4)</f>
        <v>0</v>
      </c>
      <c r="AQ411" s="26" t="s">
        <v>46</v>
      </c>
      <c r="AV411" s="24">
        <f t="shared" si="548"/>
        <v>0</v>
      </c>
      <c r="AW411" s="24">
        <f t="shared" si="549"/>
        <v>0</v>
      </c>
      <c r="AX411" s="24">
        <f t="shared" si="550"/>
        <v>0</v>
      </c>
      <c r="AY411" s="26" t="s">
        <v>1085</v>
      </c>
      <c r="AZ411" s="26" t="s">
        <v>427</v>
      </c>
      <c r="BA411" s="10" t="s">
        <v>52</v>
      </c>
      <c r="BC411" s="24">
        <f t="shared" si="551"/>
        <v>0</v>
      </c>
      <c r="BD411" s="24">
        <f t="shared" si="552"/>
        <v>0</v>
      </c>
      <c r="BE411" s="24">
        <v>0</v>
      </c>
      <c r="BF411" s="24">
        <f>408</f>
        <v>408</v>
      </c>
      <c r="BH411" s="24">
        <f t="shared" si="553"/>
        <v>0</v>
      </c>
      <c r="BI411" s="24">
        <f t="shared" si="554"/>
        <v>0</v>
      </c>
      <c r="BJ411" s="24">
        <f t="shared" si="555"/>
        <v>0</v>
      </c>
      <c r="BK411" s="26" t="s">
        <v>53</v>
      </c>
      <c r="BL411" s="24"/>
      <c r="BW411" s="24">
        <v>21</v>
      </c>
      <c r="BX411" s="4" t="s">
        <v>1142</v>
      </c>
    </row>
    <row r="412" spans="1:76" ht="14.4" x14ac:dyDescent="0.3">
      <c r="A412" s="2" t="s">
        <v>1143</v>
      </c>
      <c r="B412" s="3" t="s">
        <v>1144</v>
      </c>
      <c r="C412" s="82" t="s">
        <v>1145</v>
      </c>
      <c r="D412" s="81"/>
      <c r="E412" s="3" t="s">
        <v>174</v>
      </c>
      <c r="F412" s="24">
        <v>7</v>
      </c>
      <c r="G412" s="180">
        <v>0</v>
      </c>
      <c r="H412" s="24">
        <f t="shared" si="534"/>
        <v>0</v>
      </c>
      <c r="I412" s="24">
        <f t="shared" si="535"/>
        <v>0</v>
      </c>
      <c r="J412" s="24">
        <f t="shared" si="536"/>
        <v>0</v>
      </c>
      <c r="K412" s="25"/>
      <c r="Z412" s="24">
        <f t="shared" si="537"/>
        <v>0</v>
      </c>
      <c r="AB412" s="24">
        <f t="shared" si="538"/>
        <v>0</v>
      </c>
      <c r="AC412" s="24">
        <f t="shared" si="539"/>
        <v>0</v>
      </c>
      <c r="AD412" s="24">
        <f t="shared" si="540"/>
        <v>0</v>
      </c>
      <c r="AE412" s="24">
        <f t="shared" si="541"/>
        <v>0</v>
      </c>
      <c r="AF412" s="24">
        <f t="shared" si="542"/>
        <v>0</v>
      </c>
      <c r="AG412" s="24">
        <f t="shared" si="543"/>
        <v>0</v>
      </c>
      <c r="AH412" s="24">
        <f t="shared" si="544"/>
        <v>0</v>
      </c>
      <c r="AI412" s="10" t="s">
        <v>43</v>
      </c>
      <c r="AJ412" s="24">
        <f t="shared" si="545"/>
        <v>0</v>
      </c>
      <c r="AK412" s="24">
        <f t="shared" si="546"/>
        <v>0</v>
      </c>
      <c r="AL412" s="24">
        <f t="shared" si="547"/>
        <v>0</v>
      </c>
      <c r="AN412" s="24">
        <v>21</v>
      </c>
      <c r="AO412" s="24">
        <f>G412*0.704639412</f>
        <v>0</v>
      </c>
      <c r="AP412" s="24">
        <f>G412*(1-0.704639412)</f>
        <v>0</v>
      </c>
      <c r="AQ412" s="26" t="s">
        <v>46</v>
      </c>
      <c r="AV412" s="24">
        <f t="shared" si="548"/>
        <v>0</v>
      </c>
      <c r="AW412" s="24">
        <f t="shared" si="549"/>
        <v>0</v>
      </c>
      <c r="AX412" s="24">
        <f t="shared" si="550"/>
        <v>0</v>
      </c>
      <c r="AY412" s="26" t="s">
        <v>1085</v>
      </c>
      <c r="AZ412" s="26" t="s">
        <v>427</v>
      </c>
      <c r="BA412" s="10" t="s">
        <v>52</v>
      </c>
      <c r="BC412" s="24">
        <f t="shared" si="551"/>
        <v>0</v>
      </c>
      <c r="BD412" s="24">
        <f t="shared" si="552"/>
        <v>0</v>
      </c>
      <c r="BE412" s="24">
        <v>0</v>
      </c>
      <c r="BF412" s="24">
        <f>409</f>
        <v>409</v>
      </c>
      <c r="BH412" s="24">
        <f t="shared" si="553"/>
        <v>0</v>
      </c>
      <c r="BI412" s="24">
        <f t="shared" si="554"/>
        <v>0</v>
      </c>
      <c r="BJ412" s="24">
        <f t="shared" si="555"/>
        <v>0</v>
      </c>
      <c r="BK412" s="26" t="s">
        <v>53</v>
      </c>
      <c r="BL412" s="24"/>
      <c r="BW412" s="24">
        <v>21</v>
      </c>
      <c r="BX412" s="4" t="s">
        <v>1145</v>
      </c>
    </row>
    <row r="413" spans="1:76" ht="26.4" x14ac:dyDescent="0.3">
      <c r="A413" s="2" t="s">
        <v>1146</v>
      </c>
      <c r="B413" s="3" t="s">
        <v>1147</v>
      </c>
      <c r="C413" s="82" t="s">
        <v>1148</v>
      </c>
      <c r="D413" s="81"/>
      <c r="E413" s="3" t="s">
        <v>174</v>
      </c>
      <c r="F413" s="24">
        <v>550</v>
      </c>
      <c r="G413" s="180">
        <v>0</v>
      </c>
      <c r="H413" s="24">
        <f t="shared" si="534"/>
        <v>0</v>
      </c>
      <c r="I413" s="24">
        <f t="shared" si="535"/>
        <v>0</v>
      </c>
      <c r="J413" s="24">
        <f t="shared" si="536"/>
        <v>0</v>
      </c>
      <c r="K413" s="25"/>
      <c r="Z413" s="24">
        <f t="shared" si="537"/>
        <v>0</v>
      </c>
      <c r="AB413" s="24">
        <f t="shared" si="538"/>
        <v>0</v>
      </c>
      <c r="AC413" s="24">
        <f t="shared" si="539"/>
        <v>0</v>
      </c>
      <c r="AD413" s="24">
        <f t="shared" si="540"/>
        <v>0</v>
      </c>
      <c r="AE413" s="24">
        <f t="shared" si="541"/>
        <v>0</v>
      </c>
      <c r="AF413" s="24">
        <f t="shared" si="542"/>
        <v>0</v>
      </c>
      <c r="AG413" s="24">
        <f t="shared" si="543"/>
        <v>0</v>
      </c>
      <c r="AH413" s="24">
        <f t="shared" si="544"/>
        <v>0</v>
      </c>
      <c r="AI413" s="10" t="s">
        <v>43</v>
      </c>
      <c r="AJ413" s="24">
        <f t="shared" si="545"/>
        <v>0</v>
      </c>
      <c r="AK413" s="24">
        <f t="shared" si="546"/>
        <v>0</v>
      </c>
      <c r="AL413" s="24">
        <f t="shared" si="547"/>
        <v>0</v>
      </c>
      <c r="AN413" s="24">
        <v>21</v>
      </c>
      <c r="AO413" s="24">
        <f>G413*0.444444444</f>
        <v>0</v>
      </c>
      <c r="AP413" s="24">
        <f>G413*(1-0.444444444)</f>
        <v>0</v>
      </c>
      <c r="AQ413" s="26" t="s">
        <v>46</v>
      </c>
      <c r="AV413" s="24">
        <f t="shared" si="548"/>
        <v>0</v>
      </c>
      <c r="AW413" s="24">
        <f t="shared" si="549"/>
        <v>0</v>
      </c>
      <c r="AX413" s="24">
        <f t="shared" si="550"/>
        <v>0</v>
      </c>
      <c r="AY413" s="26" t="s">
        <v>1085</v>
      </c>
      <c r="AZ413" s="26" t="s">
        <v>427</v>
      </c>
      <c r="BA413" s="10" t="s">
        <v>52</v>
      </c>
      <c r="BC413" s="24">
        <f t="shared" si="551"/>
        <v>0</v>
      </c>
      <c r="BD413" s="24">
        <f t="shared" si="552"/>
        <v>0</v>
      </c>
      <c r="BE413" s="24">
        <v>0</v>
      </c>
      <c r="BF413" s="24">
        <f>410</f>
        <v>410</v>
      </c>
      <c r="BH413" s="24">
        <f t="shared" si="553"/>
        <v>0</v>
      </c>
      <c r="BI413" s="24">
        <f t="shared" si="554"/>
        <v>0</v>
      </c>
      <c r="BJ413" s="24">
        <f t="shared" si="555"/>
        <v>0</v>
      </c>
      <c r="BK413" s="26" t="s">
        <v>53</v>
      </c>
      <c r="BL413" s="24"/>
      <c r="BW413" s="24">
        <v>21</v>
      </c>
      <c r="BX413" s="4" t="s">
        <v>1148</v>
      </c>
    </row>
    <row r="414" spans="1:76" ht="14.4" x14ac:dyDescent="0.3">
      <c r="A414" s="2" t="s">
        <v>1149</v>
      </c>
      <c r="B414" s="3" t="s">
        <v>1150</v>
      </c>
      <c r="C414" s="82" t="s">
        <v>1151</v>
      </c>
      <c r="D414" s="81"/>
      <c r="E414" s="3" t="s">
        <v>174</v>
      </c>
      <c r="F414" s="24">
        <v>550</v>
      </c>
      <c r="G414" s="180">
        <v>0</v>
      </c>
      <c r="H414" s="24">
        <f t="shared" si="534"/>
        <v>0</v>
      </c>
      <c r="I414" s="24">
        <f t="shared" si="535"/>
        <v>0</v>
      </c>
      <c r="J414" s="24">
        <f t="shared" si="536"/>
        <v>0</v>
      </c>
      <c r="K414" s="25"/>
      <c r="Z414" s="24">
        <f t="shared" si="537"/>
        <v>0</v>
      </c>
      <c r="AB414" s="24">
        <f t="shared" si="538"/>
        <v>0</v>
      </c>
      <c r="AC414" s="24">
        <f t="shared" si="539"/>
        <v>0</v>
      </c>
      <c r="AD414" s="24">
        <f t="shared" si="540"/>
        <v>0</v>
      </c>
      <c r="AE414" s="24">
        <f t="shared" si="541"/>
        <v>0</v>
      </c>
      <c r="AF414" s="24">
        <f t="shared" si="542"/>
        <v>0</v>
      </c>
      <c r="AG414" s="24">
        <f t="shared" si="543"/>
        <v>0</v>
      </c>
      <c r="AH414" s="24">
        <f t="shared" si="544"/>
        <v>0</v>
      </c>
      <c r="AI414" s="10" t="s">
        <v>43</v>
      </c>
      <c r="AJ414" s="24">
        <f t="shared" si="545"/>
        <v>0</v>
      </c>
      <c r="AK414" s="24">
        <f t="shared" si="546"/>
        <v>0</v>
      </c>
      <c r="AL414" s="24">
        <f t="shared" si="547"/>
        <v>0</v>
      </c>
      <c r="AN414" s="24">
        <v>21</v>
      </c>
      <c r="AO414" s="24">
        <f>G414*0.4</f>
        <v>0</v>
      </c>
      <c r="AP414" s="24">
        <f>G414*(1-0.4)</f>
        <v>0</v>
      </c>
      <c r="AQ414" s="26" t="s">
        <v>46</v>
      </c>
      <c r="AV414" s="24">
        <f t="shared" si="548"/>
        <v>0</v>
      </c>
      <c r="AW414" s="24">
        <f t="shared" si="549"/>
        <v>0</v>
      </c>
      <c r="AX414" s="24">
        <f t="shared" si="550"/>
        <v>0</v>
      </c>
      <c r="AY414" s="26" t="s">
        <v>1085</v>
      </c>
      <c r="AZ414" s="26" t="s">
        <v>427</v>
      </c>
      <c r="BA414" s="10" t="s">
        <v>52</v>
      </c>
      <c r="BC414" s="24">
        <f t="shared" si="551"/>
        <v>0</v>
      </c>
      <c r="BD414" s="24">
        <f t="shared" si="552"/>
        <v>0</v>
      </c>
      <c r="BE414" s="24">
        <v>0</v>
      </c>
      <c r="BF414" s="24">
        <f>411</f>
        <v>411</v>
      </c>
      <c r="BH414" s="24">
        <f t="shared" si="553"/>
        <v>0</v>
      </c>
      <c r="BI414" s="24">
        <f t="shared" si="554"/>
        <v>0</v>
      </c>
      <c r="BJ414" s="24">
        <f t="shared" si="555"/>
        <v>0</v>
      </c>
      <c r="BK414" s="26" t="s">
        <v>53</v>
      </c>
      <c r="BL414" s="24"/>
      <c r="BW414" s="24">
        <v>21</v>
      </c>
      <c r="BX414" s="4" t="s">
        <v>1151</v>
      </c>
    </row>
    <row r="415" spans="1:76" ht="14.4" x14ac:dyDescent="0.3">
      <c r="A415" s="2" t="s">
        <v>1152</v>
      </c>
      <c r="B415" s="3" t="s">
        <v>1153</v>
      </c>
      <c r="C415" s="82" t="s">
        <v>1154</v>
      </c>
      <c r="D415" s="81"/>
      <c r="E415" s="3" t="s">
        <v>1039</v>
      </c>
      <c r="F415" s="24">
        <v>12</v>
      </c>
      <c r="G415" s="180">
        <v>0</v>
      </c>
      <c r="H415" s="24">
        <f t="shared" si="534"/>
        <v>0</v>
      </c>
      <c r="I415" s="24">
        <f t="shared" si="535"/>
        <v>0</v>
      </c>
      <c r="J415" s="24">
        <f t="shared" si="536"/>
        <v>0</v>
      </c>
      <c r="K415" s="25"/>
      <c r="Z415" s="24">
        <f t="shared" si="537"/>
        <v>0</v>
      </c>
      <c r="AB415" s="24">
        <f t="shared" si="538"/>
        <v>0</v>
      </c>
      <c r="AC415" s="24">
        <f t="shared" si="539"/>
        <v>0</v>
      </c>
      <c r="AD415" s="24">
        <f t="shared" si="540"/>
        <v>0</v>
      </c>
      <c r="AE415" s="24">
        <f t="shared" si="541"/>
        <v>0</v>
      </c>
      <c r="AF415" s="24">
        <f t="shared" si="542"/>
        <v>0</v>
      </c>
      <c r="AG415" s="24">
        <f t="shared" si="543"/>
        <v>0</v>
      </c>
      <c r="AH415" s="24">
        <f t="shared" si="544"/>
        <v>0</v>
      </c>
      <c r="AI415" s="10" t="s">
        <v>43</v>
      </c>
      <c r="AJ415" s="24">
        <f t="shared" si="545"/>
        <v>0</v>
      </c>
      <c r="AK415" s="24">
        <f t="shared" si="546"/>
        <v>0</v>
      </c>
      <c r="AL415" s="24">
        <f t="shared" si="547"/>
        <v>0</v>
      </c>
      <c r="AN415" s="24">
        <v>21</v>
      </c>
      <c r="AO415" s="24">
        <f t="shared" ref="AO415:AO423" si="556">G415*0</f>
        <v>0</v>
      </c>
      <c r="AP415" s="24">
        <f t="shared" ref="AP415:AP423" si="557">G415*(1-0)</f>
        <v>0</v>
      </c>
      <c r="AQ415" s="26" t="s">
        <v>46</v>
      </c>
      <c r="AV415" s="24">
        <f t="shared" si="548"/>
        <v>0</v>
      </c>
      <c r="AW415" s="24">
        <f t="shared" si="549"/>
        <v>0</v>
      </c>
      <c r="AX415" s="24">
        <f t="shared" si="550"/>
        <v>0</v>
      </c>
      <c r="AY415" s="26" t="s">
        <v>1085</v>
      </c>
      <c r="AZ415" s="26" t="s">
        <v>427</v>
      </c>
      <c r="BA415" s="10" t="s">
        <v>52</v>
      </c>
      <c r="BC415" s="24">
        <f t="shared" si="551"/>
        <v>0</v>
      </c>
      <c r="BD415" s="24">
        <f t="shared" si="552"/>
        <v>0</v>
      </c>
      <c r="BE415" s="24">
        <v>0</v>
      </c>
      <c r="BF415" s="24">
        <f>412</f>
        <v>412</v>
      </c>
      <c r="BH415" s="24">
        <f t="shared" si="553"/>
        <v>0</v>
      </c>
      <c r="BI415" s="24">
        <f t="shared" si="554"/>
        <v>0</v>
      </c>
      <c r="BJ415" s="24">
        <f t="shared" si="555"/>
        <v>0</v>
      </c>
      <c r="BK415" s="26" t="s">
        <v>53</v>
      </c>
      <c r="BL415" s="24"/>
      <c r="BW415" s="24">
        <v>21</v>
      </c>
      <c r="BX415" s="4" t="s">
        <v>1154</v>
      </c>
    </row>
    <row r="416" spans="1:76" ht="26.4" x14ac:dyDescent="0.3">
      <c r="A416" s="2" t="s">
        <v>1155</v>
      </c>
      <c r="B416" s="3" t="s">
        <v>1156</v>
      </c>
      <c r="C416" s="82" t="s">
        <v>1157</v>
      </c>
      <c r="D416" s="81"/>
      <c r="E416" s="3" t="s">
        <v>1039</v>
      </c>
      <c r="F416" s="24">
        <v>4</v>
      </c>
      <c r="G416" s="180">
        <v>0</v>
      </c>
      <c r="H416" s="24">
        <f t="shared" si="534"/>
        <v>0</v>
      </c>
      <c r="I416" s="24">
        <f t="shared" si="535"/>
        <v>0</v>
      </c>
      <c r="J416" s="24">
        <f t="shared" si="536"/>
        <v>0</v>
      </c>
      <c r="K416" s="25"/>
      <c r="Z416" s="24">
        <f t="shared" si="537"/>
        <v>0</v>
      </c>
      <c r="AB416" s="24">
        <f t="shared" si="538"/>
        <v>0</v>
      </c>
      <c r="AC416" s="24">
        <f t="shared" si="539"/>
        <v>0</v>
      </c>
      <c r="AD416" s="24">
        <f t="shared" si="540"/>
        <v>0</v>
      </c>
      <c r="AE416" s="24">
        <f t="shared" si="541"/>
        <v>0</v>
      </c>
      <c r="AF416" s="24">
        <f t="shared" si="542"/>
        <v>0</v>
      </c>
      <c r="AG416" s="24">
        <f t="shared" si="543"/>
        <v>0</v>
      </c>
      <c r="AH416" s="24">
        <f t="shared" si="544"/>
        <v>0</v>
      </c>
      <c r="AI416" s="10" t="s">
        <v>43</v>
      </c>
      <c r="AJ416" s="24">
        <f t="shared" si="545"/>
        <v>0</v>
      </c>
      <c r="AK416" s="24">
        <f t="shared" si="546"/>
        <v>0</v>
      </c>
      <c r="AL416" s="24">
        <f t="shared" si="547"/>
        <v>0</v>
      </c>
      <c r="AN416" s="24">
        <v>21</v>
      </c>
      <c r="AO416" s="24">
        <f t="shared" si="556"/>
        <v>0</v>
      </c>
      <c r="AP416" s="24">
        <f t="shared" si="557"/>
        <v>0</v>
      </c>
      <c r="AQ416" s="26" t="s">
        <v>46</v>
      </c>
      <c r="AV416" s="24">
        <f t="shared" si="548"/>
        <v>0</v>
      </c>
      <c r="AW416" s="24">
        <f t="shared" si="549"/>
        <v>0</v>
      </c>
      <c r="AX416" s="24">
        <f t="shared" si="550"/>
        <v>0</v>
      </c>
      <c r="AY416" s="26" t="s">
        <v>1085</v>
      </c>
      <c r="AZ416" s="26" t="s">
        <v>427</v>
      </c>
      <c r="BA416" s="10" t="s">
        <v>52</v>
      </c>
      <c r="BC416" s="24">
        <f t="shared" si="551"/>
        <v>0</v>
      </c>
      <c r="BD416" s="24">
        <f t="shared" si="552"/>
        <v>0</v>
      </c>
      <c r="BE416" s="24">
        <v>0</v>
      </c>
      <c r="BF416" s="24">
        <f>413</f>
        <v>413</v>
      </c>
      <c r="BH416" s="24">
        <f t="shared" si="553"/>
        <v>0</v>
      </c>
      <c r="BI416" s="24">
        <f t="shared" si="554"/>
        <v>0</v>
      </c>
      <c r="BJ416" s="24">
        <f t="shared" si="555"/>
        <v>0</v>
      </c>
      <c r="BK416" s="26" t="s">
        <v>53</v>
      </c>
      <c r="BL416" s="24"/>
      <c r="BW416" s="24">
        <v>21</v>
      </c>
      <c r="BX416" s="4" t="s">
        <v>1157</v>
      </c>
    </row>
    <row r="417" spans="1:76" ht="14.4" x14ac:dyDescent="0.3">
      <c r="A417" s="2" t="s">
        <v>1158</v>
      </c>
      <c r="B417" s="3" t="s">
        <v>1159</v>
      </c>
      <c r="C417" s="82" t="s">
        <v>1160</v>
      </c>
      <c r="D417" s="81"/>
      <c r="E417" s="3" t="s">
        <v>1039</v>
      </c>
      <c r="F417" s="24">
        <v>12</v>
      </c>
      <c r="G417" s="180">
        <v>0</v>
      </c>
      <c r="H417" s="24">
        <f t="shared" si="534"/>
        <v>0</v>
      </c>
      <c r="I417" s="24">
        <f t="shared" si="535"/>
        <v>0</v>
      </c>
      <c r="J417" s="24">
        <f t="shared" si="536"/>
        <v>0</v>
      </c>
      <c r="K417" s="25"/>
      <c r="Z417" s="24">
        <f t="shared" si="537"/>
        <v>0</v>
      </c>
      <c r="AB417" s="24">
        <f t="shared" si="538"/>
        <v>0</v>
      </c>
      <c r="AC417" s="24">
        <f t="shared" si="539"/>
        <v>0</v>
      </c>
      <c r="AD417" s="24">
        <f t="shared" si="540"/>
        <v>0</v>
      </c>
      <c r="AE417" s="24">
        <f t="shared" si="541"/>
        <v>0</v>
      </c>
      <c r="AF417" s="24">
        <f t="shared" si="542"/>
        <v>0</v>
      </c>
      <c r="AG417" s="24">
        <f t="shared" si="543"/>
        <v>0</v>
      </c>
      <c r="AH417" s="24">
        <f t="shared" si="544"/>
        <v>0</v>
      </c>
      <c r="AI417" s="10" t="s">
        <v>43</v>
      </c>
      <c r="AJ417" s="24">
        <f t="shared" si="545"/>
        <v>0</v>
      </c>
      <c r="AK417" s="24">
        <f t="shared" si="546"/>
        <v>0</v>
      </c>
      <c r="AL417" s="24">
        <f t="shared" si="547"/>
        <v>0</v>
      </c>
      <c r="AN417" s="24">
        <v>21</v>
      </c>
      <c r="AO417" s="24">
        <f t="shared" si="556"/>
        <v>0</v>
      </c>
      <c r="AP417" s="24">
        <f t="shared" si="557"/>
        <v>0</v>
      </c>
      <c r="AQ417" s="26" t="s">
        <v>46</v>
      </c>
      <c r="AV417" s="24">
        <f t="shared" si="548"/>
        <v>0</v>
      </c>
      <c r="AW417" s="24">
        <f t="shared" si="549"/>
        <v>0</v>
      </c>
      <c r="AX417" s="24">
        <f t="shared" si="550"/>
        <v>0</v>
      </c>
      <c r="AY417" s="26" t="s">
        <v>1085</v>
      </c>
      <c r="AZ417" s="26" t="s">
        <v>427</v>
      </c>
      <c r="BA417" s="10" t="s">
        <v>52</v>
      </c>
      <c r="BC417" s="24">
        <f t="shared" si="551"/>
        <v>0</v>
      </c>
      <c r="BD417" s="24">
        <f t="shared" si="552"/>
        <v>0</v>
      </c>
      <c r="BE417" s="24">
        <v>0</v>
      </c>
      <c r="BF417" s="24">
        <f>414</f>
        <v>414</v>
      </c>
      <c r="BH417" s="24">
        <f t="shared" si="553"/>
        <v>0</v>
      </c>
      <c r="BI417" s="24">
        <f t="shared" si="554"/>
        <v>0</v>
      </c>
      <c r="BJ417" s="24">
        <f t="shared" si="555"/>
        <v>0</v>
      </c>
      <c r="BK417" s="26" t="s">
        <v>53</v>
      </c>
      <c r="BL417" s="24"/>
      <c r="BW417" s="24">
        <v>21</v>
      </c>
      <c r="BX417" s="4" t="s">
        <v>1160</v>
      </c>
    </row>
    <row r="418" spans="1:76" ht="14.4" x14ac:dyDescent="0.3">
      <c r="A418" s="2" t="s">
        <v>1161</v>
      </c>
      <c r="B418" s="3" t="s">
        <v>1162</v>
      </c>
      <c r="C418" s="82" t="s">
        <v>1163</v>
      </c>
      <c r="D418" s="81"/>
      <c r="E418" s="3" t="s">
        <v>1039</v>
      </c>
      <c r="F418" s="24">
        <v>8</v>
      </c>
      <c r="G418" s="180">
        <v>0</v>
      </c>
      <c r="H418" s="24">
        <f t="shared" si="534"/>
        <v>0</v>
      </c>
      <c r="I418" s="24">
        <f t="shared" si="535"/>
        <v>0</v>
      </c>
      <c r="J418" s="24">
        <f t="shared" si="536"/>
        <v>0</v>
      </c>
      <c r="K418" s="25"/>
      <c r="Z418" s="24">
        <f t="shared" si="537"/>
        <v>0</v>
      </c>
      <c r="AB418" s="24">
        <f t="shared" si="538"/>
        <v>0</v>
      </c>
      <c r="AC418" s="24">
        <f t="shared" si="539"/>
        <v>0</v>
      </c>
      <c r="AD418" s="24">
        <f t="shared" si="540"/>
        <v>0</v>
      </c>
      <c r="AE418" s="24">
        <f t="shared" si="541"/>
        <v>0</v>
      </c>
      <c r="AF418" s="24">
        <f t="shared" si="542"/>
        <v>0</v>
      </c>
      <c r="AG418" s="24">
        <f t="shared" si="543"/>
        <v>0</v>
      </c>
      <c r="AH418" s="24">
        <f t="shared" si="544"/>
        <v>0</v>
      </c>
      <c r="AI418" s="10" t="s">
        <v>43</v>
      </c>
      <c r="AJ418" s="24">
        <f t="shared" si="545"/>
        <v>0</v>
      </c>
      <c r="AK418" s="24">
        <f t="shared" si="546"/>
        <v>0</v>
      </c>
      <c r="AL418" s="24">
        <f t="shared" si="547"/>
        <v>0</v>
      </c>
      <c r="AN418" s="24">
        <v>21</v>
      </c>
      <c r="AO418" s="24">
        <f t="shared" si="556"/>
        <v>0</v>
      </c>
      <c r="AP418" s="24">
        <f t="shared" si="557"/>
        <v>0</v>
      </c>
      <c r="AQ418" s="26" t="s">
        <v>46</v>
      </c>
      <c r="AV418" s="24">
        <f t="shared" si="548"/>
        <v>0</v>
      </c>
      <c r="AW418" s="24">
        <f t="shared" si="549"/>
        <v>0</v>
      </c>
      <c r="AX418" s="24">
        <f t="shared" si="550"/>
        <v>0</v>
      </c>
      <c r="AY418" s="26" t="s">
        <v>1085</v>
      </c>
      <c r="AZ418" s="26" t="s">
        <v>427</v>
      </c>
      <c r="BA418" s="10" t="s">
        <v>52</v>
      </c>
      <c r="BC418" s="24">
        <f t="shared" si="551"/>
        <v>0</v>
      </c>
      <c r="BD418" s="24">
        <f t="shared" si="552"/>
        <v>0</v>
      </c>
      <c r="BE418" s="24">
        <v>0</v>
      </c>
      <c r="BF418" s="24">
        <f>415</f>
        <v>415</v>
      </c>
      <c r="BH418" s="24">
        <f t="shared" si="553"/>
        <v>0</v>
      </c>
      <c r="BI418" s="24">
        <f t="shared" si="554"/>
        <v>0</v>
      </c>
      <c r="BJ418" s="24">
        <f t="shared" si="555"/>
        <v>0</v>
      </c>
      <c r="BK418" s="26" t="s">
        <v>53</v>
      </c>
      <c r="BL418" s="24"/>
      <c r="BW418" s="24">
        <v>21</v>
      </c>
      <c r="BX418" s="4" t="s">
        <v>1163</v>
      </c>
    </row>
    <row r="419" spans="1:76" ht="14.4" x14ac:dyDescent="0.3">
      <c r="A419" s="2" t="s">
        <v>1164</v>
      </c>
      <c r="B419" s="3" t="s">
        <v>1165</v>
      </c>
      <c r="C419" s="82" t="s">
        <v>1166</v>
      </c>
      <c r="D419" s="81"/>
      <c r="E419" s="3" t="s">
        <v>1039</v>
      </c>
      <c r="F419" s="24">
        <v>8</v>
      </c>
      <c r="G419" s="180">
        <v>0</v>
      </c>
      <c r="H419" s="24">
        <f t="shared" si="534"/>
        <v>0</v>
      </c>
      <c r="I419" s="24">
        <f t="shared" si="535"/>
        <v>0</v>
      </c>
      <c r="J419" s="24">
        <f t="shared" si="536"/>
        <v>0</v>
      </c>
      <c r="K419" s="25"/>
      <c r="Z419" s="24">
        <f t="shared" si="537"/>
        <v>0</v>
      </c>
      <c r="AB419" s="24">
        <f t="shared" si="538"/>
        <v>0</v>
      </c>
      <c r="AC419" s="24">
        <f t="shared" si="539"/>
        <v>0</v>
      </c>
      <c r="AD419" s="24">
        <f t="shared" si="540"/>
        <v>0</v>
      </c>
      <c r="AE419" s="24">
        <f t="shared" si="541"/>
        <v>0</v>
      </c>
      <c r="AF419" s="24">
        <f t="shared" si="542"/>
        <v>0</v>
      </c>
      <c r="AG419" s="24">
        <f t="shared" si="543"/>
        <v>0</v>
      </c>
      <c r="AH419" s="24">
        <f t="shared" si="544"/>
        <v>0</v>
      </c>
      <c r="AI419" s="10" t="s">
        <v>43</v>
      </c>
      <c r="AJ419" s="24">
        <f t="shared" si="545"/>
        <v>0</v>
      </c>
      <c r="AK419" s="24">
        <f t="shared" si="546"/>
        <v>0</v>
      </c>
      <c r="AL419" s="24">
        <f t="shared" si="547"/>
        <v>0</v>
      </c>
      <c r="AN419" s="24">
        <v>21</v>
      </c>
      <c r="AO419" s="24">
        <f t="shared" si="556"/>
        <v>0</v>
      </c>
      <c r="AP419" s="24">
        <f t="shared" si="557"/>
        <v>0</v>
      </c>
      <c r="AQ419" s="26" t="s">
        <v>46</v>
      </c>
      <c r="AV419" s="24">
        <f t="shared" si="548"/>
        <v>0</v>
      </c>
      <c r="AW419" s="24">
        <f t="shared" si="549"/>
        <v>0</v>
      </c>
      <c r="AX419" s="24">
        <f t="shared" si="550"/>
        <v>0</v>
      </c>
      <c r="AY419" s="26" t="s">
        <v>1085</v>
      </c>
      <c r="AZ419" s="26" t="s">
        <v>427</v>
      </c>
      <c r="BA419" s="10" t="s">
        <v>52</v>
      </c>
      <c r="BC419" s="24">
        <f t="shared" si="551"/>
        <v>0</v>
      </c>
      <c r="BD419" s="24">
        <f t="shared" si="552"/>
        <v>0</v>
      </c>
      <c r="BE419" s="24">
        <v>0</v>
      </c>
      <c r="BF419" s="24">
        <f>416</f>
        <v>416</v>
      </c>
      <c r="BH419" s="24">
        <f t="shared" si="553"/>
        <v>0</v>
      </c>
      <c r="BI419" s="24">
        <f t="shared" si="554"/>
        <v>0</v>
      </c>
      <c r="BJ419" s="24">
        <f t="shared" si="555"/>
        <v>0</v>
      </c>
      <c r="BK419" s="26" t="s">
        <v>53</v>
      </c>
      <c r="BL419" s="24"/>
      <c r="BW419" s="24">
        <v>21</v>
      </c>
      <c r="BX419" s="4" t="s">
        <v>1166</v>
      </c>
    </row>
    <row r="420" spans="1:76" ht="14.4" x14ac:dyDescent="0.3">
      <c r="A420" s="2" t="s">
        <v>1167</v>
      </c>
      <c r="B420" s="3" t="s">
        <v>1168</v>
      </c>
      <c r="C420" s="82" t="s">
        <v>1169</v>
      </c>
      <c r="D420" s="81"/>
      <c r="E420" s="3" t="s">
        <v>1039</v>
      </c>
      <c r="F420" s="24">
        <v>4</v>
      </c>
      <c r="G420" s="180">
        <v>0</v>
      </c>
      <c r="H420" s="24">
        <f t="shared" si="534"/>
        <v>0</v>
      </c>
      <c r="I420" s="24">
        <f t="shared" si="535"/>
        <v>0</v>
      </c>
      <c r="J420" s="24">
        <f t="shared" si="536"/>
        <v>0</v>
      </c>
      <c r="K420" s="25"/>
      <c r="Z420" s="24">
        <f t="shared" si="537"/>
        <v>0</v>
      </c>
      <c r="AB420" s="24">
        <f t="shared" si="538"/>
        <v>0</v>
      </c>
      <c r="AC420" s="24">
        <f t="shared" si="539"/>
        <v>0</v>
      </c>
      <c r="AD420" s="24">
        <f t="shared" si="540"/>
        <v>0</v>
      </c>
      <c r="AE420" s="24">
        <f t="shared" si="541"/>
        <v>0</v>
      </c>
      <c r="AF420" s="24">
        <f t="shared" si="542"/>
        <v>0</v>
      </c>
      <c r="AG420" s="24">
        <f t="shared" si="543"/>
        <v>0</v>
      </c>
      <c r="AH420" s="24">
        <f t="shared" si="544"/>
        <v>0</v>
      </c>
      <c r="AI420" s="10" t="s">
        <v>43</v>
      </c>
      <c r="AJ420" s="24">
        <f t="shared" si="545"/>
        <v>0</v>
      </c>
      <c r="AK420" s="24">
        <f t="shared" si="546"/>
        <v>0</v>
      </c>
      <c r="AL420" s="24">
        <f t="shared" si="547"/>
        <v>0</v>
      </c>
      <c r="AN420" s="24">
        <v>21</v>
      </c>
      <c r="AO420" s="24">
        <f t="shared" si="556"/>
        <v>0</v>
      </c>
      <c r="AP420" s="24">
        <f t="shared" si="557"/>
        <v>0</v>
      </c>
      <c r="AQ420" s="26" t="s">
        <v>46</v>
      </c>
      <c r="AV420" s="24">
        <f t="shared" si="548"/>
        <v>0</v>
      </c>
      <c r="AW420" s="24">
        <f t="shared" si="549"/>
        <v>0</v>
      </c>
      <c r="AX420" s="24">
        <f t="shared" si="550"/>
        <v>0</v>
      </c>
      <c r="AY420" s="26" t="s">
        <v>1085</v>
      </c>
      <c r="AZ420" s="26" t="s">
        <v>427</v>
      </c>
      <c r="BA420" s="10" t="s">
        <v>52</v>
      </c>
      <c r="BC420" s="24">
        <f t="shared" si="551"/>
        <v>0</v>
      </c>
      <c r="BD420" s="24">
        <f t="shared" si="552"/>
        <v>0</v>
      </c>
      <c r="BE420" s="24">
        <v>0</v>
      </c>
      <c r="BF420" s="24">
        <f>417</f>
        <v>417</v>
      </c>
      <c r="BH420" s="24">
        <f t="shared" si="553"/>
        <v>0</v>
      </c>
      <c r="BI420" s="24">
        <f t="shared" si="554"/>
        <v>0</v>
      </c>
      <c r="BJ420" s="24">
        <f t="shared" si="555"/>
        <v>0</v>
      </c>
      <c r="BK420" s="26" t="s">
        <v>53</v>
      </c>
      <c r="BL420" s="24"/>
      <c r="BW420" s="24">
        <v>21</v>
      </c>
      <c r="BX420" s="4" t="s">
        <v>1169</v>
      </c>
    </row>
    <row r="421" spans="1:76" ht="14.4" x14ac:dyDescent="0.3">
      <c r="A421" s="2" t="s">
        <v>1170</v>
      </c>
      <c r="B421" s="3" t="s">
        <v>1171</v>
      </c>
      <c r="C421" s="82" t="s">
        <v>1073</v>
      </c>
      <c r="D421" s="81"/>
      <c r="E421" s="3" t="s">
        <v>1039</v>
      </c>
      <c r="F421" s="24">
        <v>8</v>
      </c>
      <c r="G421" s="180">
        <v>0</v>
      </c>
      <c r="H421" s="24">
        <f t="shared" si="534"/>
        <v>0</v>
      </c>
      <c r="I421" s="24">
        <f t="shared" si="535"/>
        <v>0</v>
      </c>
      <c r="J421" s="24">
        <f t="shared" si="536"/>
        <v>0</v>
      </c>
      <c r="K421" s="25"/>
      <c r="Z421" s="24">
        <f t="shared" si="537"/>
        <v>0</v>
      </c>
      <c r="AB421" s="24">
        <f t="shared" si="538"/>
        <v>0</v>
      </c>
      <c r="AC421" s="24">
        <f t="shared" si="539"/>
        <v>0</v>
      </c>
      <c r="AD421" s="24">
        <f t="shared" si="540"/>
        <v>0</v>
      </c>
      <c r="AE421" s="24">
        <f t="shared" si="541"/>
        <v>0</v>
      </c>
      <c r="AF421" s="24">
        <f t="shared" si="542"/>
        <v>0</v>
      </c>
      <c r="AG421" s="24">
        <f t="shared" si="543"/>
        <v>0</v>
      </c>
      <c r="AH421" s="24">
        <f t="shared" si="544"/>
        <v>0</v>
      </c>
      <c r="AI421" s="10" t="s">
        <v>43</v>
      </c>
      <c r="AJ421" s="24">
        <f t="shared" si="545"/>
        <v>0</v>
      </c>
      <c r="AK421" s="24">
        <f t="shared" si="546"/>
        <v>0</v>
      </c>
      <c r="AL421" s="24">
        <f t="shared" si="547"/>
        <v>0</v>
      </c>
      <c r="AN421" s="24">
        <v>21</v>
      </c>
      <c r="AO421" s="24">
        <f t="shared" si="556"/>
        <v>0</v>
      </c>
      <c r="AP421" s="24">
        <f t="shared" si="557"/>
        <v>0</v>
      </c>
      <c r="AQ421" s="26" t="s">
        <v>46</v>
      </c>
      <c r="AV421" s="24">
        <f t="shared" si="548"/>
        <v>0</v>
      </c>
      <c r="AW421" s="24">
        <f t="shared" si="549"/>
        <v>0</v>
      </c>
      <c r="AX421" s="24">
        <f t="shared" si="550"/>
        <v>0</v>
      </c>
      <c r="AY421" s="26" t="s">
        <v>1085</v>
      </c>
      <c r="AZ421" s="26" t="s">
        <v>427</v>
      </c>
      <c r="BA421" s="10" t="s">
        <v>52</v>
      </c>
      <c r="BC421" s="24">
        <f t="shared" si="551"/>
        <v>0</v>
      </c>
      <c r="BD421" s="24">
        <f t="shared" si="552"/>
        <v>0</v>
      </c>
      <c r="BE421" s="24">
        <v>0</v>
      </c>
      <c r="BF421" s="24">
        <f>418</f>
        <v>418</v>
      </c>
      <c r="BH421" s="24">
        <f t="shared" si="553"/>
        <v>0</v>
      </c>
      <c r="BI421" s="24">
        <f t="shared" si="554"/>
        <v>0</v>
      </c>
      <c r="BJ421" s="24">
        <f t="shared" si="555"/>
        <v>0</v>
      </c>
      <c r="BK421" s="26" t="s">
        <v>53</v>
      </c>
      <c r="BL421" s="24"/>
      <c r="BW421" s="24">
        <v>21</v>
      </c>
      <c r="BX421" s="4" t="s">
        <v>1073</v>
      </c>
    </row>
    <row r="422" spans="1:76" ht="14.4" x14ac:dyDescent="0.3">
      <c r="A422" s="2" t="s">
        <v>1172</v>
      </c>
      <c r="B422" s="3" t="s">
        <v>1173</v>
      </c>
      <c r="C422" s="82" t="s">
        <v>1076</v>
      </c>
      <c r="D422" s="81"/>
      <c r="E422" s="3" t="s">
        <v>1039</v>
      </c>
      <c r="F422" s="24">
        <v>4</v>
      </c>
      <c r="G422" s="180">
        <v>0</v>
      </c>
      <c r="H422" s="24">
        <f t="shared" si="534"/>
        <v>0</v>
      </c>
      <c r="I422" s="24">
        <f t="shared" si="535"/>
        <v>0</v>
      </c>
      <c r="J422" s="24">
        <f t="shared" si="536"/>
        <v>0</v>
      </c>
      <c r="K422" s="25"/>
      <c r="Z422" s="24">
        <f t="shared" si="537"/>
        <v>0</v>
      </c>
      <c r="AB422" s="24">
        <f t="shared" si="538"/>
        <v>0</v>
      </c>
      <c r="AC422" s="24">
        <f t="shared" si="539"/>
        <v>0</v>
      </c>
      <c r="AD422" s="24">
        <f t="shared" si="540"/>
        <v>0</v>
      </c>
      <c r="AE422" s="24">
        <f t="shared" si="541"/>
        <v>0</v>
      </c>
      <c r="AF422" s="24">
        <f t="shared" si="542"/>
        <v>0</v>
      </c>
      <c r="AG422" s="24">
        <f t="shared" si="543"/>
        <v>0</v>
      </c>
      <c r="AH422" s="24">
        <f t="shared" si="544"/>
        <v>0</v>
      </c>
      <c r="AI422" s="10" t="s">
        <v>43</v>
      </c>
      <c r="AJ422" s="24">
        <f t="shared" si="545"/>
        <v>0</v>
      </c>
      <c r="AK422" s="24">
        <f t="shared" si="546"/>
        <v>0</v>
      </c>
      <c r="AL422" s="24">
        <f t="shared" si="547"/>
        <v>0</v>
      </c>
      <c r="AN422" s="24">
        <v>21</v>
      </c>
      <c r="AO422" s="24">
        <f t="shared" si="556"/>
        <v>0</v>
      </c>
      <c r="AP422" s="24">
        <f t="shared" si="557"/>
        <v>0</v>
      </c>
      <c r="AQ422" s="26" t="s">
        <v>46</v>
      </c>
      <c r="AV422" s="24">
        <f t="shared" si="548"/>
        <v>0</v>
      </c>
      <c r="AW422" s="24">
        <f t="shared" si="549"/>
        <v>0</v>
      </c>
      <c r="AX422" s="24">
        <f t="shared" si="550"/>
        <v>0</v>
      </c>
      <c r="AY422" s="26" t="s">
        <v>1085</v>
      </c>
      <c r="AZ422" s="26" t="s">
        <v>427</v>
      </c>
      <c r="BA422" s="10" t="s">
        <v>52</v>
      </c>
      <c r="BC422" s="24">
        <f t="shared" si="551"/>
        <v>0</v>
      </c>
      <c r="BD422" s="24">
        <f t="shared" si="552"/>
        <v>0</v>
      </c>
      <c r="BE422" s="24">
        <v>0</v>
      </c>
      <c r="BF422" s="24">
        <f>419</f>
        <v>419</v>
      </c>
      <c r="BH422" s="24">
        <f t="shared" si="553"/>
        <v>0</v>
      </c>
      <c r="BI422" s="24">
        <f t="shared" si="554"/>
        <v>0</v>
      </c>
      <c r="BJ422" s="24">
        <f t="shared" si="555"/>
        <v>0</v>
      </c>
      <c r="BK422" s="26" t="s">
        <v>53</v>
      </c>
      <c r="BL422" s="24"/>
      <c r="BW422" s="24">
        <v>21</v>
      </c>
      <c r="BX422" s="4" t="s">
        <v>1076</v>
      </c>
    </row>
    <row r="423" spans="1:76" ht="14.4" x14ac:dyDescent="0.3">
      <c r="A423" s="2" t="s">
        <v>1174</v>
      </c>
      <c r="B423" s="3" t="s">
        <v>1175</v>
      </c>
      <c r="C423" s="82" t="s">
        <v>1079</v>
      </c>
      <c r="D423" s="81"/>
      <c r="E423" s="3" t="s">
        <v>1039</v>
      </c>
      <c r="F423" s="24">
        <v>2</v>
      </c>
      <c r="G423" s="180">
        <v>0</v>
      </c>
      <c r="H423" s="24">
        <f t="shared" si="534"/>
        <v>0</v>
      </c>
      <c r="I423" s="24">
        <f t="shared" si="535"/>
        <v>0</v>
      </c>
      <c r="J423" s="24">
        <f t="shared" si="536"/>
        <v>0</v>
      </c>
      <c r="K423" s="25"/>
      <c r="Z423" s="24">
        <f t="shared" si="537"/>
        <v>0</v>
      </c>
      <c r="AB423" s="24">
        <f t="shared" si="538"/>
        <v>0</v>
      </c>
      <c r="AC423" s="24">
        <f t="shared" si="539"/>
        <v>0</v>
      </c>
      <c r="AD423" s="24">
        <f t="shared" si="540"/>
        <v>0</v>
      </c>
      <c r="AE423" s="24">
        <f t="shared" si="541"/>
        <v>0</v>
      </c>
      <c r="AF423" s="24">
        <f t="shared" si="542"/>
        <v>0</v>
      </c>
      <c r="AG423" s="24">
        <f t="shared" si="543"/>
        <v>0</v>
      </c>
      <c r="AH423" s="24">
        <f t="shared" si="544"/>
        <v>0</v>
      </c>
      <c r="AI423" s="10" t="s">
        <v>43</v>
      </c>
      <c r="AJ423" s="24">
        <f t="shared" si="545"/>
        <v>0</v>
      </c>
      <c r="AK423" s="24">
        <f t="shared" si="546"/>
        <v>0</v>
      </c>
      <c r="AL423" s="24">
        <f t="shared" si="547"/>
        <v>0</v>
      </c>
      <c r="AN423" s="24">
        <v>21</v>
      </c>
      <c r="AO423" s="24">
        <f t="shared" si="556"/>
        <v>0</v>
      </c>
      <c r="AP423" s="24">
        <f t="shared" si="557"/>
        <v>0</v>
      </c>
      <c r="AQ423" s="26" t="s">
        <v>46</v>
      </c>
      <c r="AV423" s="24">
        <f t="shared" si="548"/>
        <v>0</v>
      </c>
      <c r="AW423" s="24">
        <f t="shared" si="549"/>
        <v>0</v>
      </c>
      <c r="AX423" s="24">
        <f t="shared" si="550"/>
        <v>0</v>
      </c>
      <c r="AY423" s="26" t="s">
        <v>1085</v>
      </c>
      <c r="AZ423" s="26" t="s">
        <v>427</v>
      </c>
      <c r="BA423" s="10" t="s">
        <v>52</v>
      </c>
      <c r="BC423" s="24">
        <f t="shared" si="551"/>
        <v>0</v>
      </c>
      <c r="BD423" s="24">
        <f t="shared" si="552"/>
        <v>0</v>
      </c>
      <c r="BE423" s="24">
        <v>0</v>
      </c>
      <c r="BF423" s="24">
        <f>420</f>
        <v>420</v>
      </c>
      <c r="BH423" s="24">
        <f t="shared" si="553"/>
        <v>0</v>
      </c>
      <c r="BI423" s="24">
        <f t="shared" si="554"/>
        <v>0</v>
      </c>
      <c r="BJ423" s="24">
        <f t="shared" si="555"/>
        <v>0</v>
      </c>
      <c r="BK423" s="26" t="s">
        <v>53</v>
      </c>
      <c r="BL423" s="24"/>
      <c r="BW423" s="24">
        <v>21</v>
      </c>
      <c r="BX423" s="4" t="s">
        <v>1079</v>
      </c>
    </row>
    <row r="424" spans="1:76" ht="14.4" x14ac:dyDescent="0.3">
      <c r="A424" s="27" t="s">
        <v>43</v>
      </c>
      <c r="B424" s="28" t="s">
        <v>1176</v>
      </c>
      <c r="C424" s="98" t="s">
        <v>1177</v>
      </c>
      <c r="D424" s="99"/>
      <c r="E424" s="29" t="s">
        <v>3</v>
      </c>
      <c r="F424" s="29" t="s">
        <v>3</v>
      </c>
      <c r="G424" s="29" t="s">
        <v>3</v>
      </c>
      <c r="H424" s="1">
        <f>ROUND(SUM(H425:H438),2)</f>
        <v>0</v>
      </c>
      <c r="I424" s="1">
        <f>ROUND(SUM(I425:I438),2)</f>
        <v>0</v>
      </c>
      <c r="J424" s="1">
        <f>ROUND(SUM(J425:J438),2)</f>
        <v>0</v>
      </c>
      <c r="K424" s="30"/>
      <c r="AI424" s="10" t="s">
        <v>43</v>
      </c>
      <c r="AS424" s="1">
        <f>SUM(AJ425:AJ438)</f>
        <v>0</v>
      </c>
      <c r="AT424" s="1">
        <f>SUM(AK425:AK438)</f>
        <v>0</v>
      </c>
      <c r="AU424" s="1">
        <f>SUM(AL425:AL438)</f>
        <v>0</v>
      </c>
    </row>
    <row r="425" spans="1:76" ht="14.4" x14ac:dyDescent="0.3">
      <c r="A425" s="2" t="s">
        <v>1178</v>
      </c>
      <c r="B425" s="3" t="s">
        <v>1179</v>
      </c>
      <c r="C425" s="82" t="s">
        <v>1180</v>
      </c>
      <c r="D425" s="81"/>
      <c r="E425" s="3" t="s">
        <v>174</v>
      </c>
      <c r="F425" s="24">
        <v>2</v>
      </c>
      <c r="G425" s="180">
        <v>0</v>
      </c>
      <c r="H425" s="24">
        <f t="shared" ref="H425:H438" si="558">ROUND(F425*AO425,2)</f>
        <v>0</v>
      </c>
      <c r="I425" s="24">
        <f t="shared" ref="I425:I438" si="559">ROUND(F425*AP425,2)</f>
        <v>0</v>
      </c>
      <c r="J425" s="24">
        <f t="shared" ref="J425:J438" si="560">ROUND(F425*G425,2)</f>
        <v>0</v>
      </c>
      <c r="K425" s="25"/>
      <c r="Z425" s="24">
        <f t="shared" ref="Z425:Z438" si="561">ROUND(IF(AQ425="5",BJ425,0),2)</f>
        <v>0</v>
      </c>
      <c r="AB425" s="24">
        <f t="shared" ref="AB425:AB438" si="562">ROUND(IF(AQ425="1",BH425,0),2)</f>
        <v>0</v>
      </c>
      <c r="AC425" s="24">
        <f t="shared" ref="AC425:AC438" si="563">ROUND(IF(AQ425="1",BI425,0),2)</f>
        <v>0</v>
      </c>
      <c r="AD425" s="24">
        <f t="shared" ref="AD425:AD438" si="564">ROUND(IF(AQ425="7",BH425,0),2)</f>
        <v>0</v>
      </c>
      <c r="AE425" s="24">
        <f t="shared" ref="AE425:AE438" si="565">ROUND(IF(AQ425="7",BI425,0),2)</f>
        <v>0</v>
      </c>
      <c r="AF425" s="24">
        <f t="shared" ref="AF425:AF438" si="566">ROUND(IF(AQ425="2",BH425,0),2)</f>
        <v>0</v>
      </c>
      <c r="AG425" s="24">
        <f t="shared" ref="AG425:AG438" si="567">ROUND(IF(AQ425="2",BI425,0),2)</f>
        <v>0</v>
      </c>
      <c r="AH425" s="24">
        <f t="shared" ref="AH425:AH438" si="568">ROUND(IF(AQ425="0",BJ425,0),2)</f>
        <v>0</v>
      </c>
      <c r="AI425" s="10" t="s">
        <v>43</v>
      </c>
      <c r="AJ425" s="24">
        <f t="shared" ref="AJ425:AJ438" si="569">IF(AN425=0,J425,0)</f>
        <v>0</v>
      </c>
      <c r="AK425" s="24">
        <f t="shared" ref="AK425:AK438" si="570">IF(AN425=12,J425,0)</f>
        <v>0</v>
      </c>
      <c r="AL425" s="24">
        <f t="shared" ref="AL425:AL438" si="571">IF(AN425=21,J425,0)</f>
        <v>0</v>
      </c>
      <c r="AN425" s="24">
        <v>21</v>
      </c>
      <c r="AO425" s="24">
        <f>G425*0.931937173</f>
        <v>0</v>
      </c>
      <c r="AP425" s="24">
        <f>G425*(1-0.931937173)</f>
        <v>0</v>
      </c>
      <c r="AQ425" s="26" t="s">
        <v>46</v>
      </c>
      <c r="AV425" s="24">
        <f t="shared" ref="AV425:AV438" si="572">ROUND(AW425+AX425,2)</f>
        <v>0</v>
      </c>
      <c r="AW425" s="24">
        <f t="shared" ref="AW425:AW438" si="573">ROUND(F425*AO425,2)</f>
        <v>0</v>
      </c>
      <c r="AX425" s="24">
        <f t="shared" ref="AX425:AX438" si="574">ROUND(F425*AP425,2)</f>
        <v>0</v>
      </c>
      <c r="AY425" s="26" t="s">
        <v>1181</v>
      </c>
      <c r="AZ425" s="26" t="s">
        <v>427</v>
      </c>
      <c r="BA425" s="10" t="s">
        <v>52</v>
      </c>
      <c r="BC425" s="24">
        <f t="shared" ref="BC425:BC438" si="575">AW425+AX425</f>
        <v>0</v>
      </c>
      <c r="BD425" s="24">
        <f t="shared" ref="BD425:BD438" si="576">G425/(100-BE425)*100</f>
        <v>0</v>
      </c>
      <c r="BE425" s="24">
        <v>0</v>
      </c>
      <c r="BF425" s="24">
        <f>422</f>
        <v>422</v>
      </c>
      <c r="BH425" s="24">
        <f t="shared" ref="BH425:BH438" si="577">F425*AO425</f>
        <v>0</v>
      </c>
      <c r="BI425" s="24">
        <f t="shared" ref="BI425:BI438" si="578">F425*AP425</f>
        <v>0</v>
      </c>
      <c r="BJ425" s="24">
        <f t="shared" ref="BJ425:BJ438" si="579">F425*G425</f>
        <v>0</v>
      </c>
      <c r="BK425" s="26" t="s">
        <v>53</v>
      </c>
      <c r="BL425" s="24"/>
      <c r="BW425" s="24">
        <v>21</v>
      </c>
      <c r="BX425" s="4" t="s">
        <v>1180</v>
      </c>
    </row>
    <row r="426" spans="1:76" ht="26.4" x14ac:dyDescent="0.3">
      <c r="A426" s="2" t="s">
        <v>1182</v>
      </c>
      <c r="B426" s="3" t="s">
        <v>1183</v>
      </c>
      <c r="C426" s="82" t="s">
        <v>1184</v>
      </c>
      <c r="D426" s="81"/>
      <c r="E426" s="3" t="s">
        <v>174</v>
      </c>
      <c r="F426" s="24">
        <v>2</v>
      </c>
      <c r="G426" s="180">
        <v>0</v>
      </c>
      <c r="H426" s="24">
        <f t="shared" si="558"/>
        <v>0</v>
      </c>
      <c r="I426" s="24">
        <f t="shared" si="559"/>
        <v>0</v>
      </c>
      <c r="J426" s="24">
        <f t="shared" si="560"/>
        <v>0</v>
      </c>
      <c r="K426" s="25"/>
      <c r="Z426" s="24">
        <f t="shared" si="561"/>
        <v>0</v>
      </c>
      <c r="AB426" s="24">
        <f t="shared" si="562"/>
        <v>0</v>
      </c>
      <c r="AC426" s="24">
        <f t="shared" si="563"/>
        <v>0</v>
      </c>
      <c r="AD426" s="24">
        <f t="shared" si="564"/>
        <v>0</v>
      </c>
      <c r="AE426" s="24">
        <f t="shared" si="565"/>
        <v>0</v>
      </c>
      <c r="AF426" s="24">
        <f t="shared" si="566"/>
        <v>0</v>
      </c>
      <c r="AG426" s="24">
        <f t="shared" si="567"/>
        <v>0</v>
      </c>
      <c r="AH426" s="24">
        <f t="shared" si="568"/>
        <v>0</v>
      </c>
      <c r="AI426" s="10" t="s">
        <v>43</v>
      </c>
      <c r="AJ426" s="24">
        <f t="shared" si="569"/>
        <v>0</v>
      </c>
      <c r="AK426" s="24">
        <f t="shared" si="570"/>
        <v>0</v>
      </c>
      <c r="AL426" s="24">
        <f t="shared" si="571"/>
        <v>0</v>
      </c>
      <c r="AN426" s="24">
        <v>21</v>
      </c>
      <c r="AO426" s="24">
        <f>G426*0.903993856</f>
        <v>0</v>
      </c>
      <c r="AP426" s="24">
        <f>G426*(1-0.903993856)</f>
        <v>0</v>
      </c>
      <c r="AQ426" s="26" t="s">
        <v>46</v>
      </c>
      <c r="AV426" s="24">
        <f t="shared" si="572"/>
        <v>0</v>
      </c>
      <c r="AW426" s="24">
        <f t="shared" si="573"/>
        <v>0</v>
      </c>
      <c r="AX426" s="24">
        <f t="shared" si="574"/>
        <v>0</v>
      </c>
      <c r="AY426" s="26" t="s">
        <v>1181</v>
      </c>
      <c r="AZ426" s="26" t="s">
        <v>427</v>
      </c>
      <c r="BA426" s="10" t="s">
        <v>52</v>
      </c>
      <c r="BC426" s="24">
        <f t="shared" si="575"/>
        <v>0</v>
      </c>
      <c r="BD426" s="24">
        <f t="shared" si="576"/>
        <v>0</v>
      </c>
      <c r="BE426" s="24">
        <v>0</v>
      </c>
      <c r="BF426" s="24">
        <f>423</f>
        <v>423</v>
      </c>
      <c r="BH426" s="24">
        <f t="shared" si="577"/>
        <v>0</v>
      </c>
      <c r="BI426" s="24">
        <f t="shared" si="578"/>
        <v>0</v>
      </c>
      <c r="BJ426" s="24">
        <f t="shared" si="579"/>
        <v>0</v>
      </c>
      <c r="BK426" s="26" t="s">
        <v>53</v>
      </c>
      <c r="BL426" s="24"/>
      <c r="BW426" s="24">
        <v>21</v>
      </c>
      <c r="BX426" s="4" t="s">
        <v>1184</v>
      </c>
    </row>
    <row r="427" spans="1:76" ht="14.4" x14ac:dyDescent="0.3">
      <c r="A427" s="2" t="s">
        <v>1185</v>
      </c>
      <c r="B427" s="3" t="s">
        <v>1186</v>
      </c>
      <c r="C427" s="82" t="s">
        <v>1187</v>
      </c>
      <c r="D427" s="81"/>
      <c r="E427" s="3" t="s">
        <v>174</v>
      </c>
      <c r="F427" s="24">
        <v>1</v>
      </c>
      <c r="G427" s="180">
        <v>0</v>
      </c>
      <c r="H427" s="24">
        <f t="shared" si="558"/>
        <v>0</v>
      </c>
      <c r="I427" s="24">
        <f t="shared" si="559"/>
        <v>0</v>
      </c>
      <c r="J427" s="24">
        <f t="shared" si="560"/>
        <v>0</v>
      </c>
      <c r="K427" s="25"/>
      <c r="Z427" s="24">
        <f t="shared" si="561"/>
        <v>0</v>
      </c>
      <c r="AB427" s="24">
        <f t="shared" si="562"/>
        <v>0</v>
      </c>
      <c r="AC427" s="24">
        <f t="shared" si="563"/>
        <v>0</v>
      </c>
      <c r="AD427" s="24">
        <f t="shared" si="564"/>
        <v>0</v>
      </c>
      <c r="AE427" s="24">
        <f t="shared" si="565"/>
        <v>0</v>
      </c>
      <c r="AF427" s="24">
        <f t="shared" si="566"/>
        <v>0</v>
      </c>
      <c r="AG427" s="24">
        <f t="shared" si="567"/>
        <v>0</v>
      </c>
      <c r="AH427" s="24">
        <f t="shared" si="568"/>
        <v>0</v>
      </c>
      <c r="AI427" s="10" t="s">
        <v>43</v>
      </c>
      <c r="AJ427" s="24">
        <f t="shared" si="569"/>
        <v>0</v>
      </c>
      <c r="AK427" s="24">
        <f t="shared" si="570"/>
        <v>0</v>
      </c>
      <c r="AL427" s="24">
        <f t="shared" si="571"/>
        <v>0</v>
      </c>
      <c r="AN427" s="24">
        <v>21</v>
      </c>
      <c r="AO427" s="24">
        <f>G427*0.940814394</f>
        <v>0</v>
      </c>
      <c r="AP427" s="24">
        <f>G427*(1-0.940814394)</f>
        <v>0</v>
      </c>
      <c r="AQ427" s="26" t="s">
        <v>46</v>
      </c>
      <c r="AV427" s="24">
        <f t="shared" si="572"/>
        <v>0</v>
      </c>
      <c r="AW427" s="24">
        <f t="shared" si="573"/>
        <v>0</v>
      </c>
      <c r="AX427" s="24">
        <f t="shared" si="574"/>
        <v>0</v>
      </c>
      <c r="AY427" s="26" t="s">
        <v>1181</v>
      </c>
      <c r="AZ427" s="26" t="s">
        <v>427</v>
      </c>
      <c r="BA427" s="10" t="s">
        <v>52</v>
      </c>
      <c r="BC427" s="24">
        <f t="shared" si="575"/>
        <v>0</v>
      </c>
      <c r="BD427" s="24">
        <f t="shared" si="576"/>
        <v>0</v>
      </c>
      <c r="BE427" s="24">
        <v>0</v>
      </c>
      <c r="BF427" s="24">
        <f>424</f>
        <v>424</v>
      </c>
      <c r="BH427" s="24">
        <f t="shared" si="577"/>
        <v>0</v>
      </c>
      <c r="BI427" s="24">
        <f t="shared" si="578"/>
        <v>0</v>
      </c>
      <c r="BJ427" s="24">
        <f t="shared" si="579"/>
        <v>0</v>
      </c>
      <c r="BK427" s="26" t="s">
        <v>53</v>
      </c>
      <c r="BL427" s="24"/>
      <c r="BW427" s="24">
        <v>21</v>
      </c>
      <c r="BX427" s="4" t="s">
        <v>1187</v>
      </c>
    </row>
    <row r="428" spans="1:76" ht="14.4" x14ac:dyDescent="0.3">
      <c r="A428" s="2" t="s">
        <v>1188</v>
      </c>
      <c r="B428" s="3" t="s">
        <v>1189</v>
      </c>
      <c r="C428" s="82" t="s">
        <v>1190</v>
      </c>
      <c r="D428" s="81"/>
      <c r="E428" s="3" t="s">
        <v>174</v>
      </c>
      <c r="F428" s="24">
        <v>1</v>
      </c>
      <c r="G428" s="180">
        <v>0</v>
      </c>
      <c r="H428" s="24">
        <f t="shared" si="558"/>
        <v>0</v>
      </c>
      <c r="I428" s="24">
        <f t="shared" si="559"/>
        <v>0</v>
      </c>
      <c r="J428" s="24">
        <f t="shared" si="560"/>
        <v>0</v>
      </c>
      <c r="K428" s="25"/>
      <c r="Z428" s="24">
        <f t="shared" si="561"/>
        <v>0</v>
      </c>
      <c r="AB428" s="24">
        <f t="shared" si="562"/>
        <v>0</v>
      </c>
      <c r="AC428" s="24">
        <f t="shared" si="563"/>
        <v>0</v>
      </c>
      <c r="AD428" s="24">
        <f t="shared" si="564"/>
        <v>0</v>
      </c>
      <c r="AE428" s="24">
        <f t="shared" si="565"/>
        <v>0</v>
      </c>
      <c r="AF428" s="24">
        <f t="shared" si="566"/>
        <v>0</v>
      </c>
      <c r="AG428" s="24">
        <f t="shared" si="567"/>
        <v>0</v>
      </c>
      <c r="AH428" s="24">
        <f t="shared" si="568"/>
        <v>0</v>
      </c>
      <c r="AI428" s="10" t="s">
        <v>43</v>
      </c>
      <c r="AJ428" s="24">
        <f t="shared" si="569"/>
        <v>0</v>
      </c>
      <c r="AK428" s="24">
        <f t="shared" si="570"/>
        <v>0</v>
      </c>
      <c r="AL428" s="24">
        <f t="shared" si="571"/>
        <v>0</v>
      </c>
      <c r="AN428" s="24">
        <v>21</v>
      </c>
      <c r="AO428" s="24">
        <f>G428*0.892787524</f>
        <v>0</v>
      </c>
      <c r="AP428" s="24">
        <f>G428*(1-0.892787524)</f>
        <v>0</v>
      </c>
      <c r="AQ428" s="26" t="s">
        <v>46</v>
      </c>
      <c r="AV428" s="24">
        <f t="shared" si="572"/>
        <v>0</v>
      </c>
      <c r="AW428" s="24">
        <f t="shared" si="573"/>
        <v>0</v>
      </c>
      <c r="AX428" s="24">
        <f t="shared" si="574"/>
        <v>0</v>
      </c>
      <c r="AY428" s="26" t="s">
        <v>1181</v>
      </c>
      <c r="AZ428" s="26" t="s">
        <v>427</v>
      </c>
      <c r="BA428" s="10" t="s">
        <v>52</v>
      </c>
      <c r="BC428" s="24">
        <f t="shared" si="575"/>
        <v>0</v>
      </c>
      <c r="BD428" s="24">
        <f t="shared" si="576"/>
        <v>0</v>
      </c>
      <c r="BE428" s="24">
        <v>0</v>
      </c>
      <c r="BF428" s="24">
        <f>425</f>
        <v>425</v>
      </c>
      <c r="BH428" s="24">
        <f t="shared" si="577"/>
        <v>0</v>
      </c>
      <c r="BI428" s="24">
        <f t="shared" si="578"/>
        <v>0</v>
      </c>
      <c r="BJ428" s="24">
        <f t="shared" si="579"/>
        <v>0</v>
      </c>
      <c r="BK428" s="26" t="s">
        <v>53</v>
      </c>
      <c r="BL428" s="24"/>
      <c r="BW428" s="24">
        <v>21</v>
      </c>
      <c r="BX428" s="4" t="s">
        <v>1190</v>
      </c>
    </row>
    <row r="429" spans="1:76" ht="14.4" x14ac:dyDescent="0.3">
      <c r="A429" s="2" t="s">
        <v>1191</v>
      </c>
      <c r="B429" s="3" t="s">
        <v>1192</v>
      </c>
      <c r="C429" s="82" t="s">
        <v>1193</v>
      </c>
      <c r="D429" s="81"/>
      <c r="E429" s="3" t="s">
        <v>174</v>
      </c>
      <c r="F429" s="24">
        <v>2</v>
      </c>
      <c r="G429" s="180">
        <v>0</v>
      </c>
      <c r="H429" s="24">
        <f t="shared" si="558"/>
        <v>0</v>
      </c>
      <c r="I429" s="24">
        <f t="shared" si="559"/>
        <v>0</v>
      </c>
      <c r="J429" s="24">
        <f t="shared" si="560"/>
        <v>0</v>
      </c>
      <c r="K429" s="25"/>
      <c r="Z429" s="24">
        <f t="shared" si="561"/>
        <v>0</v>
      </c>
      <c r="AB429" s="24">
        <f t="shared" si="562"/>
        <v>0</v>
      </c>
      <c r="AC429" s="24">
        <f t="shared" si="563"/>
        <v>0</v>
      </c>
      <c r="AD429" s="24">
        <f t="shared" si="564"/>
        <v>0</v>
      </c>
      <c r="AE429" s="24">
        <f t="shared" si="565"/>
        <v>0</v>
      </c>
      <c r="AF429" s="24">
        <f t="shared" si="566"/>
        <v>0</v>
      </c>
      <c r="AG429" s="24">
        <f t="shared" si="567"/>
        <v>0</v>
      </c>
      <c r="AH429" s="24">
        <f t="shared" si="568"/>
        <v>0</v>
      </c>
      <c r="AI429" s="10" t="s">
        <v>43</v>
      </c>
      <c r="AJ429" s="24">
        <f t="shared" si="569"/>
        <v>0</v>
      </c>
      <c r="AK429" s="24">
        <f t="shared" si="570"/>
        <v>0</v>
      </c>
      <c r="AL429" s="24">
        <f t="shared" si="571"/>
        <v>0</v>
      </c>
      <c r="AN429" s="24">
        <v>21</v>
      </c>
      <c r="AO429" s="24">
        <f>G429*0.537190083</f>
        <v>0</v>
      </c>
      <c r="AP429" s="24">
        <f>G429*(1-0.537190083)</f>
        <v>0</v>
      </c>
      <c r="AQ429" s="26" t="s">
        <v>46</v>
      </c>
      <c r="AV429" s="24">
        <f t="shared" si="572"/>
        <v>0</v>
      </c>
      <c r="AW429" s="24">
        <f t="shared" si="573"/>
        <v>0</v>
      </c>
      <c r="AX429" s="24">
        <f t="shared" si="574"/>
        <v>0</v>
      </c>
      <c r="AY429" s="26" t="s">
        <v>1181</v>
      </c>
      <c r="AZ429" s="26" t="s">
        <v>427</v>
      </c>
      <c r="BA429" s="10" t="s">
        <v>52</v>
      </c>
      <c r="BC429" s="24">
        <f t="shared" si="575"/>
        <v>0</v>
      </c>
      <c r="BD429" s="24">
        <f t="shared" si="576"/>
        <v>0</v>
      </c>
      <c r="BE429" s="24">
        <v>0</v>
      </c>
      <c r="BF429" s="24">
        <f>426</f>
        <v>426</v>
      </c>
      <c r="BH429" s="24">
        <f t="shared" si="577"/>
        <v>0</v>
      </c>
      <c r="BI429" s="24">
        <f t="shared" si="578"/>
        <v>0</v>
      </c>
      <c r="BJ429" s="24">
        <f t="shared" si="579"/>
        <v>0</v>
      </c>
      <c r="BK429" s="26" t="s">
        <v>53</v>
      </c>
      <c r="BL429" s="24"/>
      <c r="BW429" s="24">
        <v>21</v>
      </c>
      <c r="BX429" s="4" t="s">
        <v>1193</v>
      </c>
    </row>
    <row r="430" spans="1:76" ht="14.4" x14ac:dyDescent="0.3">
      <c r="A430" s="2" t="s">
        <v>1194</v>
      </c>
      <c r="B430" s="3" t="s">
        <v>1195</v>
      </c>
      <c r="C430" s="82" t="s">
        <v>1060</v>
      </c>
      <c r="D430" s="81"/>
      <c r="E430" s="3" t="s">
        <v>1061</v>
      </c>
      <c r="F430" s="24">
        <v>1</v>
      </c>
      <c r="G430" s="180">
        <v>0</v>
      </c>
      <c r="H430" s="24">
        <f t="shared" si="558"/>
        <v>0</v>
      </c>
      <c r="I430" s="24">
        <f t="shared" si="559"/>
        <v>0</v>
      </c>
      <c r="J430" s="24">
        <f t="shared" si="560"/>
        <v>0</v>
      </c>
      <c r="K430" s="25"/>
      <c r="Z430" s="24">
        <f t="shared" si="561"/>
        <v>0</v>
      </c>
      <c r="AB430" s="24">
        <f t="shared" si="562"/>
        <v>0</v>
      </c>
      <c r="AC430" s="24">
        <f t="shared" si="563"/>
        <v>0</v>
      </c>
      <c r="AD430" s="24">
        <f t="shared" si="564"/>
        <v>0</v>
      </c>
      <c r="AE430" s="24">
        <f t="shared" si="565"/>
        <v>0</v>
      </c>
      <c r="AF430" s="24">
        <f t="shared" si="566"/>
        <v>0</v>
      </c>
      <c r="AG430" s="24">
        <f t="shared" si="567"/>
        <v>0</v>
      </c>
      <c r="AH430" s="24">
        <f t="shared" si="568"/>
        <v>0</v>
      </c>
      <c r="AI430" s="10" t="s">
        <v>43</v>
      </c>
      <c r="AJ430" s="24">
        <f t="shared" si="569"/>
        <v>0</v>
      </c>
      <c r="AK430" s="24">
        <f t="shared" si="570"/>
        <v>0</v>
      </c>
      <c r="AL430" s="24">
        <f t="shared" si="571"/>
        <v>0</v>
      </c>
      <c r="AN430" s="24">
        <v>21</v>
      </c>
      <c r="AO430" s="24">
        <f>G430*0.5</f>
        <v>0</v>
      </c>
      <c r="AP430" s="24">
        <f>G430*(1-0.5)</f>
        <v>0</v>
      </c>
      <c r="AQ430" s="26" t="s">
        <v>46</v>
      </c>
      <c r="AV430" s="24">
        <f t="shared" si="572"/>
        <v>0</v>
      </c>
      <c r="AW430" s="24">
        <f t="shared" si="573"/>
        <v>0</v>
      </c>
      <c r="AX430" s="24">
        <f t="shared" si="574"/>
        <v>0</v>
      </c>
      <c r="AY430" s="26" t="s">
        <v>1181</v>
      </c>
      <c r="AZ430" s="26" t="s">
        <v>427</v>
      </c>
      <c r="BA430" s="10" t="s">
        <v>52</v>
      </c>
      <c r="BC430" s="24">
        <f t="shared" si="575"/>
        <v>0</v>
      </c>
      <c r="BD430" s="24">
        <f t="shared" si="576"/>
        <v>0</v>
      </c>
      <c r="BE430" s="24">
        <v>0</v>
      </c>
      <c r="BF430" s="24">
        <f>427</f>
        <v>427</v>
      </c>
      <c r="BH430" s="24">
        <f t="shared" si="577"/>
        <v>0</v>
      </c>
      <c r="BI430" s="24">
        <f t="shared" si="578"/>
        <v>0</v>
      </c>
      <c r="BJ430" s="24">
        <f t="shared" si="579"/>
        <v>0</v>
      </c>
      <c r="BK430" s="26" t="s">
        <v>53</v>
      </c>
      <c r="BL430" s="24"/>
      <c r="BW430" s="24">
        <v>21</v>
      </c>
      <c r="BX430" s="4" t="s">
        <v>1060</v>
      </c>
    </row>
    <row r="431" spans="1:76" ht="14.4" x14ac:dyDescent="0.3">
      <c r="A431" s="2" t="s">
        <v>1196</v>
      </c>
      <c r="B431" s="3" t="s">
        <v>1197</v>
      </c>
      <c r="C431" s="82" t="s">
        <v>1198</v>
      </c>
      <c r="D431" s="81"/>
      <c r="E431" s="3" t="s">
        <v>91</v>
      </c>
      <c r="F431" s="24">
        <v>80</v>
      </c>
      <c r="G431" s="180">
        <v>0</v>
      </c>
      <c r="H431" s="24">
        <f t="shared" si="558"/>
        <v>0</v>
      </c>
      <c r="I431" s="24">
        <f t="shared" si="559"/>
        <v>0</v>
      </c>
      <c r="J431" s="24">
        <f t="shared" si="560"/>
        <v>0</v>
      </c>
      <c r="K431" s="25"/>
      <c r="Z431" s="24">
        <f t="shared" si="561"/>
        <v>0</v>
      </c>
      <c r="AB431" s="24">
        <f t="shared" si="562"/>
        <v>0</v>
      </c>
      <c r="AC431" s="24">
        <f t="shared" si="563"/>
        <v>0</v>
      </c>
      <c r="AD431" s="24">
        <f t="shared" si="564"/>
        <v>0</v>
      </c>
      <c r="AE431" s="24">
        <f t="shared" si="565"/>
        <v>0</v>
      </c>
      <c r="AF431" s="24">
        <f t="shared" si="566"/>
        <v>0</v>
      </c>
      <c r="AG431" s="24">
        <f t="shared" si="567"/>
        <v>0</v>
      </c>
      <c r="AH431" s="24">
        <f t="shared" si="568"/>
        <v>0</v>
      </c>
      <c r="AI431" s="10" t="s">
        <v>43</v>
      </c>
      <c r="AJ431" s="24">
        <f t="shared" si="569"/>
        <v>0</v>
      </c>
      <c r="AK431" s="24">
        <f t="shared" si="570"/>
        <v>0</v>
      </c>
      <c r="AL431" s="24">
        <f t="shared" si="571"/>
        <v>0</v>
      </c>
      <c r="AN431" s="24">
        <v>21</v>
      </c>
      <c r="AO431" s="24">
        <f>G431*0.45</f>
        <v>0</v>
      </c>
      <c r="AP431" s="24">
        <f>G431*(1-0.45)</f>
        <v>0</v>
      </c>
      <c r="AQ431" s="26" t="s">
        <v>46</v>
      </c>
      <c r="AV431" s="24">
        <f t="shared" si="572"/>
        <v>0</v>
      </c>
      <c r="AW431" s="24">
        <f t="shared" si="573"/>
        <v>0</v>
      </c>
      <c r="AX431" s="24">
        <f t="shared" si="574"/>
        <v>0</v>
      </c>
      <c r="AY431" s="26" t="s">
        <v>1181</v>
      </c>
      <c r="AZ431" s="26" t="s">
        <v>427</v>
      </c>
      <c r="BA431" s="10" t="s">
        <v>52</v>
      </c>
      <c r="BC431" s="24">
        <f t="shared" si="575"/>
        <v>0</v>
      </c>
      <c r="BD431" s="24">
        <f t="shared" si="576"/>
        <v>0</v>
      </c>
      <c r="BE431" s="24">
        <v>0</v>
      </c>
      <c r="BF431" s="24">
        <f>428</f>
        <v>428</v>
      </c>
      <c r="BH431" s="24">
        <f t="shared" si="577"/>
        <v>0</v>
      </c>
      <c r="BI431" s="24">
        <f t="shared" si="578"/>
        <v>0</v>
      </c>
      <c r="BJ431" s="24">
        <f t="shared" si="579"/>
        <v>0</v>
      </c>
      <c r="BK431" s="26" t="s">
        <v>53</v>
      </c>
      <c r="BL431" s="24"/>
      <c r="BW431" s="24">
        <v>21</v>
      </c>
      <c r="BX431" s="4" t="s">
        <v>1198</v>
      </c>
    </row>
    <row r="432" spans="1:76" ht="14.4" x14ac:dyDescent="0.3">
      <c r="A432" s="2" t="s">
        <v>1199</v>
      </c>
      <c r="B432" s="3" t="s">
        <v>1200</v>
      </c>
      <c r="C432" s="82" t="s">
        <v>1201</v>
      </c>
      <c r="D432" s="81"/>
      <c r="E432" s="3" t="s">
        <v>91</v>
      </c>
      <c r="F432" s="24">
        <v>80</v>
      </c>
      <c r="G432" s="180">
        <v>0</v>
      </c>
      <c r="H432" s="24">
        <f t="shared" si="558"/>
        <v>0</v>
      </c>
      <c r="I432" s="24">
        <f t="shared" si="559"/>
        <v>0</v>
      </c>
      <c r="J432" s="24">
        <f t="shared" si="560"/>
        <v>0</v>
      </c>
      <c r="K432" s="25"/>
      <c r="Z432" s="24">
        <f t="shared" si="561"/>
        <v>0</v>
      </c>
      <c r="AB432" s="24">
        <f t="shared" si="562"/>
        <v>0</v>
      </c>
      <c r="AC432" s="24">
        <f t="shared" si="563"/>
        <v>0</v>
      </c>
      <c r="AD432" s="24">
        <f t="shared" si="564"/>
        <v>0</v>
      </c>
      <c r="AE432" s="24">
        <f t="shared" si="565"/>
        <v>0</v>
      </c>
      <c r="AF432" s="24">
        <f t="shared" si="566"/>
        <v>0</v>
      </c>
      <c r="AG432" s="24">
        <f t="shared" si="567"/>
        <v>0</v>
      </c>
      <c r="AH432" s="24">
        <f t="shared" si="568"/>
        <v>0</v>
      </c>
      <c r="AI432" s="10" t="s">
        <v>43</v>
      </c>
      <c r="AJ432" s="24">
        <f t="shared" si="569"/>
        <v>0</v>
      </c>
      <c r="AK432" s="24">
        <f t="shared" si="570"/>
        <v>0</v>
      </c>
      <c r="AL432" s="24">
        <f t="shared" si="571"/>
        <v>0</v>
      </c>
      <c r="AN432" s="24">
        <v>21</v>
      </c>
      <c r="AO432" s="24">
        <f>G432*0.705882353</f>
        <v>0</v>
      </c>
      <c r="AP432" s="24">
        <f>G432*(1-0.705882353)</f>
        <v>0</v>
      </c>
      <c r="AQ432" s="26" t="s">
        <v>46</v>
      </c>
      <c r="AV432" s="24">
        <f t="shared" si="572"/>
        <v>0</v>
      </c>
      <c r="AW432" s="24">
        <f t="shared" si="573"/>
        <v>0</v>
      </c>
      <c r="AX432" s="24">
        <f t="shared" si="574"/>
        <v>0</v>
      </c>
      <c r="AY432" s="26" t="s">
        <v>1181</v>
      </c>
      <c r="AZ432" s="26" t="s">
        <v>427</v>
      </c>
      <c r="BA432" s="10" t="s">
        <v>52</v>
      </c>
      <c r="BC432" s="24">
        <f t="shared" si="575"/>
        <v>0</v>
      </c>
      <c r="BD432" s="24">
        <f t="shared" si="576"/>
        <v>0</v>
      </c>
      <c r="BE432" s="24">
        <v>0</v>
      </c>
      <c r="BF432" s="24">
        <f>429</f>
        <v>429</v>
      </c>
      <c r="BH432" s="24">
        <f t="shared" si="577"/>
        <v>0</v>
      </c>
      <c r="BI432" s="24">
        <f t="shared" si="578"/>
        <v>0</v>
      </c>
      <c r="BJ432" s="24">
        <f t="shared" si="579"/>
        <v>0</v>
      </c>
      <c r="BK432" s="26" t="s">
        <v>53</v>
      </c>
      <c r="BL432" s="24"/>
      <c r="BW432" s="24">
        <v>21</v>
      </c>
      <c r="BX432" s="4" t="s">
        <v>1201</v>
      </c>
    </row>
    <row r="433" spans="1:76" ht="14.4" x14ac:dyDescent="0.3">
      <c r="A433" s="2" t="s">
        <v>1202</v>
      </c>
      <c r="B433" s="3" t="s">
        <v>1203</v>
      </c>
      <c r="C433" s="82" t="s">
        <v>1136</v>
      </c>
      <c r="D433" s="81"/>
      <c r="E433" s="3" t="s">
        <v>174</v>
      </c>
      <c r="F433" s="24">
        <v>1</v>
      </c>
      <c r="G433" s="180">
        <v>0</v>
      </c>
      <c r="H433" s="24">
        <f t="shared" si="558"/>
        <v>0</v>
      </c>
      <c r="I433" s="24">
        <f t="shared" si="559"/>
        <v>0</v>
      </c>
      <c r="J433" s="24">
        <f t="shared" si="560"/>
        <v>0</v>
      </c>
      <c r="K433" s="25"/>
      <c r="Z433" s="24">
        <f t="shared" si="561"/>
        <v>0</v>
      </c>
      <c r="AB433" s="24">
        <f t="shared" si="562"/>
        <v>0</v>
      </c>
      <c r="AC433" s="24">
        <f t="shared" si="563"/>
        <v>0</v>
      </c>
      <c r="AD433" s="24">
        <f t="shared" si="564"/>
        <v>0</v>
      </c>
      <c r="AE433" s="24">
        <f t="shared" si="565"/>
        <v>0</v>
      </c>
      <c r="AF433" s="24">
        <f t="shared" si="566"/>
        <v>0</v>
      </c>
      <c r="AG433" s="24">
        <f t="shared" si="567"/>
        <v>0</v>
      </c>
      <c r="AH433" s="24">
        <f t="shared" si="568"/>
        <v>0</v>
      </c>
      <c r="AI433" s="10" t="s">
        <v>43</v>
      </c>
      <c r="AJ433" s="24">
        <f t="shared" si="569"/>
        <v>0</v>
      </c>
      <c r="AK433" s="24">
        <f t="shared" si="570"/>
        <v>0</v>
      </c>
      <c r="AL433" s="24">
        <f t="shared" si="571"/>
        <v>0</v>
      </c>
      <c r="AN433" s="24">
        <v>21</v>
      </c>
      <c r="AO433" s="24">
        <f>G433*0.555555556</f>
        <v>0</v>
      </c>
      <c r="AP433" s="24">
        <f>G433*(1-0.555555556)</f>
        <v>0</v>
      </c>
      <c r="AQ433" s="26" t="s">
        <v>46</v>
      </c>
      <c r="AV433" s="24">
        <f t="shared" si="572"/>
        <v>0</v>
      </c>
      <c r="AW433" s="24">
        <f t="shared" si="573"/>
        <v>0</v>
      </c>
      <c r="AX433" s="24">
        <f t="shared" si="574"/>
        <v>0</v>
      </c>
      <c r="AY433" s="26" t="s">
        <v>1181</v>
      </c>
      <c r="AZ433" s="26" t="s">
        <v>427</v>
      </c>
      <c r="BA433" s="10" t="s">
        <v>52</v>
      </c>
      <c r="BC433" s="24">
        <f t="shared" si="575"/>
        <v>0</v>
      </c>
      <c r="BD433" s="24">
        <f t="shared" si="576"/>
        <v>0</v>
      </c>
      <c r="BE433" s="24">
        <v>0</v>
      </c>
      <c r="BF433" s="24">
        <f>430</f>
        <v>430</v>
      </c>
      <c r="BH433" s="24">
        <f t="shared" si="577"/>
        <v>0</v>
      </c>
      <c r="BI433" s="24">
        <f t="shared" si="578"/>
        <v>0</v>
      </c>
      <c r="BJ433" s="24">
        <f t="shared" si="579"/>
        <v>0</v>
      </c>
      <c r="BK433" s="26" t="s">
        <v>53</v>
      </c>
      <c r="BL433" s="24"/>
      <c r="BW433" s="24">
        <v>21</v>
      </c>
      <c r="BX433" s="4" t="s">
        <v>1136</v>
      </c>
    </row>
    <row r="434" spans="1:76" ht="14.4" x14ac:dyDescent="0.3">
      <c r="A434" s="2" t="s">
        <v>1204</v>
      </c>
      <c r="B434" s="3" t="s">
        <v>1203</v>
      </c>
      <c r="C434" s="82" t="s">
        <v>1205</v>
      </c>
      <c r="D434" s="81"/>
      <c r="E434" s="3" t="s">
        <v>1039</v>
      </c>
      <c r="F434" s="24">
        <v>2</v>
      </c>
      <c r="G434" s="180">
        <v>0</v>
      </c>
      <c r="H434" s="24">
        <f t="shared" si="558"/>
        <v>0</v>
      </c>
      <c r="I434" s="24">
        <f t="shared" si="559"/>
        <v>0</v>
      </c>
      <c r="J434" s="24">
        <f t="shared" si="560"/>
        <v>0</v>
      </c>
      <c r="K434" s="25"/>
      <c r="Z434" s="24">
        <f t="shared" si="561"/>
        <v>0</v>
      </c>
      <c r="AB434" s="24">
        <f t="shared" si="562"/>
        <v>0</v>
      </c>
      <c r="AC434" s="24">
        <f t="shared" si="563"/>
        <v>0</v>
      </c>
      <c r="AD434" s="24">
        <f t="shared" si="564"/>
        <v>0</v>
      </c>
      <c r="AE434" s="24">
        <f t="shared" si="565"/>
        <v>0</v>
      </c>
      <c r="AF434" s="24">
        <f t="shared" si="566"/>
        <v>0</v>
      </c>
      <c r="AG434" s="24">
        <f t="shared" si="567"/>
        <v>0</v>
      </c>
      <c r="AH434" s="24">
        <f t="shared" si="568"/>
        <v>0</v>
      </c>
      <c r="AI434" s="10" t="s">
        <v>43</v>
      </c>
      <c r="AJ434" s="24">
        <f t="shared" si="569"/>
        <v>0</v>
      </c>
      <c r="AK434" s="24">
        <f t="shared" si="570"/>
        <v>0</v>
      </c>
      <c r="AL434" s="24">
        <f t="shared" si="571"/>
        <v>0</v>
      </c>
      <c r="AN434" s="24">
        <v>21</v>
      </c>
      <c r="AO434" s="24">
        <f>G434*0</f>
        <v>0</v>
      </c>
      <c r="AP434" s="24">
        <f>G434*(1-0)</f>
        <v>0</v>
      </c>
      <c r="AQ434" s="26" t="s">
        <v>46</v>
      </c>
      <c r="AV434" s="24">
        <f t="shared" si="572"/>
        <v>0</v>
      </c>
      <c r="AW434" s="24">
        <f t="shared" si="573"/>
        <v>0</v>
      </c>
      <c r="AX434" s="24">
        <f t="shared" si="574"/>
        <v>0</v>
      </c>
      <c r="AY434" s="26" t="s">
        <v>1181</v>
      </c>
      <c r="AZ434" s="26" t="s">
        <v>427</v>
      </c>
      <c r="BA434" s="10" t="s">
        <v>52</v>
      </c>
      <c r="BC434" s="24">
        <f t="shared" si="575"/>
        <v>0</v>
      </c>
      <c r="BD434" s="24">
        <f t="shared" si="576"/>
        <v>0</v>
      </c>
      <c r="BE434" s="24">
        <v>0</v>
      </c>
      <c r="BF434" s="24">
        <f>431</f>
        <v>431</v>
      </c>
      <c r="BH434" s="24">
        <f t="shared" si="577"/>
        <v>0</v>
      </c>
      <c r="BI434" s="24">
        <f t="shared" si="578"/>
        <v>0</v>
      </c>
      <c r="BJ434" s="24">
        <f t="shared" si="579"/>
        <v>0</v>
      </c>
      <c r="BK434" s="26" t="s">
        <v>53</v>
      </c>
      <c r="BL434" s="24"/>
      <c r="BW434" s="24">
        <v>21</v>
      </c>
      <c r="BX434" s="4" t="s">
        <v>1205</v>
      </c>
    </row>
    <row r="435" spans="1:76" ht="14.4" x14ac:dyDescent="0.3">
      <c r="A435" s="2" t="s">
        <v>1206</v>
      </c>
      <c r="B435" s="3" t="s">
        <v>1207</v>
      </c>
      <c r="C435" s="82" t="s">
        <v>1070</v>
      </c>
      <c r="D435" s="81"/>
      <c r="E435" s="3" t="s">
        <v>1039</v>
      </c>
      <c r="F435" s="24">
        <v>8</v>
      </c>
      <c r="G435" s="180">
        <v>0</v>
      </c>
      <c r="H435" s="24">
        <f t="shared" si="558"/>
        <v>0</v>
      </c>
      <c r="I435" s="24">
        <f t="shared" si="559"/>
        <v>0</v>
      </c>
      <c r="J435" s="24">
        <f t="shared" si="560"/>
        <v>0</v>
      </c>
      <c r="K435" s="25"/>
      <c r="Z435" s="24">
        <f t="shared" si="561"/>
        <v>0</v>
      </c>
      <c r="AB435" s="24">
        <f t="shared" si="562"/>
        <v>0</v>
      </c>
      <c r="AC435" s="24">
        <f t="shared" si="563"/>
        <v>0</v>
      </c>
      <c r="AD435" s="24">
        <f t="shared" si="564"/>
        <v>0</v>
      </c>
      <c r="AE435" s="24">
        <f t="shared" si="565"/>
        <v>0</v>
      </c>
      <c r="AF435" s="24">
        <f t="shared" si="566"/>
        <v>0</v>
      </c>
      <c r="AG435" s="24">
        <f t="shared" si="567"/>
        <v>0</v>
      </c>
      <c r="AH435" s="24">
        <f t="shared" si="568"/>
        <v>0</v>
      </c>
      <c r="AI435" s="10" t="s">
        <v>43</v>
      </c>
      <c r="AJ435" s="24">
        <f t="shared" si="569"/>
        <v>0</v>
      </c>
      <c r="AK435" s="24">
        <f t="shared" si="570"/>
        <v>0</v>
      </c>
      <c r="AL435" s="24">
        <f t="shared" si="571"/>
        <v>0</v>
      </c>
      <c r="AN435" s="24">
        <v>21</v>
      </c>
      <c r="AO435" s="24">
        <f>G435*0</f>
        <v>0</v>
      </c>
      <c r="AP435" s="24">
        <f>G435*(1-0)</f>
        <v>0</v>
      </c>
      <c r="AQ435" s="26" t="s">
        <v>46</v>
      </c>
      <c r="AV435" s="24">
        <f t="shared" si="572"/>
        <v>0</v>
      </c>
      <c r="AW435" s="24">
        <f t="shared" si="573"/>
        <v>0</v>
      </c>
      <c r="AX435" s="24">
        <f t="shared" si="574"/>
        <v>0</v>
      </c>
      <c r="AY435" s="26" t="s">
        <v>1181</v>
      </c>
      <c r="AZ435" s="26" t="s">
        <v>427</v>
      </c>
      <c r="BA435" s="10" t="s">
        <v>52</v>
      </c>
      <c r="BC435" s="24">
        <f t="shared" si="575"/>
        <v>0</v>
      </c>
      <c r="BD435" s="24">
        <f t="shared" si="576"/>
        <v>0</v>
      </c>
      <c r="BE435" s="24">
        <v>0</v>
      </c>
      <c r="BF435" s="24">
        <f>432</f>
        <v>432</v>
      </c>
      <c r="BH435" s="24">
        <f t="shared" si="577"/>
        <v>0</v>
      </c>
      <c r="BI435" s="24">
        <f t="shared" si="578"/>
        <v>0</v>
      </c>
      <c r="BJ435" s="24">
        <f t="shared" si="579"/>
        <v>0</v>
      </c>
      <c r="BK435" s="26" t="s">
        <v>53</v>
      </c>
      <c r="BL435" s="24"/>
      <c r="BW435" s="24">
        <v>21</v>
      </c>
      <c r="BX435" s="4" t="s">
        <v>1070</v>
      </c>
    </row>
    <row r="436" spans="1:76" ht="14.4" x14ac:dyDescent="0.3">
      <c r="A436" s="2" t="s">
        <v>1208</v>
      </c>
      <c r="B436" s="3" t="s">
        <v>1209</v>
      </c>
      <c r="C436" s="82" t="s">
        <v>1073</v>
      </c>
      <c r="D436" s="81"/>
      <c r="E436" s="3" t="s">
        <v>1039</v>
      </c>
      <c r="F436" s="24">
        <v>4</v>
      </c>
      <c r="G436" s="180">
        <v>0</v>
      </c>
      <c r="H436" s="24">
        <f t="shared" si="558"/>
        <v>0</v>
      </c>
      <c r="I436" s="24">
        <f t="shared" si="559"/>
        <v>0</v>
      </c>
      <c r="J436" s="24">
        <f t="shared" si="560"/>
        <v>0</v>
      </c>
      <c r="K436" s="25"/>
      <c r="Z436" s="24">
        <f t="shared" si="561"/>
        <v>0</v>
      </c>
      <c r="AB436" s="24">
        <f t="shared" si="562"/>
        <v>0</v>
      </c>
      <c r="AC436" s="24">
        <f t="shared" si="563"/>
        <v>0</v>
      </c>
      <c r="AD436" s="24">
        <f t="shared" si="564"/>
        <v>0</v>
      </c>
      <c r="AE436" s="24">
        <f t="shared" si="565"/>
        <v>0</v>
      </c>
      <c r="AF436" s="24">
        <f t="shared" si="566"/>
        <v>0</v>
      </c>
      <c r="AG436" s="24">
        <f t="shared" si="567"/>
        <v>0</v>
      </c>
      <c r="AH436" s="24">
        <f t="shared" si="568"/>
        <v>0</v>
      </c>
      <c r="AI436" s="10" t="s">
        <v>43</v>
      </c>
      <c r="AJ436" s="24">
        <f t="shared" si="569"/>
        <v>0</v>
      </c>
      <c r="AK436" s="24">
        <f t="shared" si="570"/>
        <v>0</v>
      </c>
      <c r="AL436" s="24">
        <f t="shared" si="571"/>
        <v>0</v>
      </c>
      <c r="AN436" s="24">
        <v>21</v>
      </c>
      <c r="AO436" s="24">
        <f>G436*0</f>
        <v>0</v>
      </c>
      <c r="AP436" s="24">
        <f>G436*(1-0)</f>
        <v>0</v>
      </c>
      <c r="AQ436" s="26" t="s">
        <v>46</v>
      </c>
      <c r="AV436" s="24">
        <f t="shared" si="572"/>
        <v>0</v>
      </c>
      <c r="AW436" s="24">
        <f t="shared" si="573"/>
        <v>0</v>
      </c>
      <c r="AX436" s="24">
        <f t="shared" si="574"/>
        <v>0</v>
      </c>
      <c r="AY436" s="26" t="s">
        <v>1181</v>
      </c>
      <c r="AZ436" s="26" t="s">
        <v>427</v>
      </c>
      <c r="BA436" s="10" t="s">
        <v>52</v>
      </c>
      <c r="BC436" s="24">
        <f t="shared" si="575"/>
        <v>0</v>
      </c>
      <c r="BD436" s="24">
        <f t="shared" si="576"/>
        <v>0</v>
      </c>
      <c r="BE436" s="24">
        <v>0</v>
      </c>
      <c r="BF436" s="24">
        <f>433</f>
        <v>433</v>
      </c>
      <c r="BH436" s="24">
        <f t="shared" si="577"/>
        <v>0</v>
      </c>
      <c r="BI436" s="24">
        <f t="shared" si="578"/>
        <v>0</v>
      </c>
      <c r="BJ436" s="24">
        <f t="shared" si="579"/>
        <v>0</v>
      </c>
      <c r="BK436" s="26" t="s">
        <v>53</v>
      </c>
      <c r="BL436" s="24"/>
      <c r="BW436" s="24">
        <v>21</v>
      </c>
      <c r="BX436" s="4" t="s">
        <v>1073</v>
      </c>
    </row>
    <row r="437" spans="1:76" ht="14.4" x14ac:dyDescent="0.3">
      <c r="A437" s="2" t="s">
        <v>1210</v>
      </c>
      <c r="B437" s="3" t="s">
        <v>1211</v>
      </c>
      <c r="C437" s="82" t="s">
        <v>1076</v>
      </c>
      <c r="D437" s="81"/>
      <c r="E437" s="3" t="s">
        <v>1039</v>
      </c>
      <c r="F437" s="24">
        <v>1</v>
      </c>
      <c r="G437" s="180">
        <v>0</v>
      </c>
      <c r="H437" s="24">
        <f t="shared" si="558"/>
        <v>0</v>
      </c>
      <c r="I437" s="24">
        <f t="shared" si="559"/>
        <v>0</v>
      </c>
      <c r="J437" s="24">
        <f t="shared" si="560"/>
        <v>0</v>
      </c>
      <c r="K437" s="25"/>
      <c r="Z437" s="24">
        <f t="shared" si="561"/>
        <v>0</v>
      </c>
      <c r="AB437" s="24">
        <f t="shared" si="562"/>
        <v>0</v>
      </c>
      <c r="AC437" s="24">
        <f t="shared" si="563"/>
        <v>0</v>
      </c>
      <c r="AD437" s="24">
        <f t="shared" si="564"/>
        <v>0</v>
      </c>
      <c r="AE437" s="24">
        <f t="shared" si="565"/>
        <v>0</v>
      </c>
      <c r="AF437" s="24">
        <f t="shared" si="566"/>
        <v>0</v>
      </c>
      <c r="AG437" s="24">
        <f t="shared" si="567"/>
        <v>0</v>
      </c>
      <c r="AH437" s="24">
        <f t="shared" si="568"/>
        <v>0</v>
      </c>
      <c r="AI437" s="10" t="s">
        <v>43</v>
      </c>
      <c r="AJ437" s="24">
        <f t="shared" si="569"/>
        <v>0</v>
      </c>
      <c r="AK437" s="24">
        <f t="shared" si="570"/>
        <v>0</v>
      </c>
      <c r="AL437" s="24">
        <f t="shared" si="571"/>
        <v>0</v>
      </c>
      <c r="AN437" s="24">
        <v>21</v>
      </c>
      <c r="AO437" s="24">
        <f>G437*0</f>
        <v>0</v>
      </c>
      <c r="AP437" s="24">
        <f>G437*(1-0)</f>
        <v>0</v>
      </c>
      <c r="AQ437" s="26" t="s">
        <v>46</v>
      </c>
      <c r="AV437" s="24">
        <f t="shared" si="572"/>
        <v>0</v>
      </c>
      <c r="AW437" s="24">
        <f t="shared" si="573"/>
        <v>0</v>
      </c>
      <c r="AX437" s="24">
        <f t="shared" si="574"/>
        <v>0</v>
      </c>
      <c r="AY437" s="26" t="s">
        <v>1181</v>
      </c>
      <c r="AZ437" s="26" t="s">
        <v>427</v>
      </c>
      <c r="BA437" s="10" t="s">
        <v>52</v>
      </c>
      <c r="BC437" s="24">
        <f t="shared" si="575"/>
        <v>0</v>
      </c>
      <c r="BD437" s="24">
        <f t="shared" si="576"/>
        <v>0</v>
      </c>
      <c r="BE437" s="24">
        <v>0</v>
      </c>
      <c r="BF437" s="24">
        <f>434</f>
        <v>434</v>
      </c>
      <c r="BH437" s="24">
        <f t="shared" si="577"/>
        <v>0</v>
      </c>
      <c r="BI437" s="24">
        <f t="shared" si="578"/>
        <v>0</v>
      </c>
      <c r="BJ437" s="24">
        <f t="shared" si="579"/>
        <v>0</v>
      </c>
      <c r="BK437" s="26" t="s">
        <v>53</v>
      </c>
      <c r="BL437" s="24"/>
      <c r="BW437" s="24">
        <v>21</v>
      </c>
      <c r="BX437" s="4" t="s">
        <v>1076</v>
      </c>
    </row>
    <row r="438" spans="1:76" ht="14.4" x14ac:dyDescent="0.3">
      <c r="A438" s="2" t="s">
        <v>1212</v>
      </c>
      <c r="B438" s="3" t="s">
        <v>1213</v>
      </c>
      <c r="C438" s="82" t="s">
        <v>1079</v>
      </c>
      <c r="D438" s="81"/>
      <c r="E438" s="3" t="s">
        <v>1039</v>
      </c>
      <c r="F438" s="24">
        <v>2</v>
      </c>
      <c r="G438" s="180">
        <v>0</v>
      </c>
      <c r="H438" s="24">
        <f t="shared" si="558"/>
        <v>0</v>
      </c>
      <c r="I438" s="24">
        <f t="shared" si="559"/>
        <v>0</v>
      </c>
      <c r="J438" s="24">
        <f t="shared" si="560"/>
        <v>0</v>
      </c>
      <c r="K438" s="25"/>
      <c r="Z438" s="24">
        <f t="shared" si="561"/>
        <v>0</v>
      </c>
      <c r="AB438" s="24">
        <f t="shared" si="562"/>
        <v>0</v>
      </c>
      <c r="AC438" s="24">
        <f t="shared" si="563"/>
        <v>0</v>
      </c>
      <c r="AD438" s="24">
        <f t="shared" si="564"/>
        <v>0</v>
      </c>
      <c r="AE438" s="24">
        <f t="shared" si="565"/>
        <v>0</v>
      </c>
      <c r="AF438" s="24">
        <f t="shared" si="566"/>
        <v>0</v>
      </c>
      <c r="AG438" s="24">
        <f t="shared" si="567"/>
        <v>0</v>
      </c>
      <c r="AH438" s="24">
        <f t="shared" si="568"/>
        <v>0</v>
      </c>
      <c r="AI438" s="10" t="s">
        <v>43</v>
      </c>
      <c r="AJ438" s="24">
        <f t="shared" si="569"/>
        <v>0</v>
      </c>
      <c r="AK438" s="24">
        <f t="shared" si="570"/>
        <v>0</v>
      </c>
      <c r="AL438" s="24">
        <f t="shared" si="571"/>
        <v>0</v>
      </c>
      <c r="AN438" s="24">
        <v>21</v>
      </c>
      <c r="AO438" s="24">
        <f>G438*0</f>
        <v>0</v>
      </c>
      <c r="AP438" s="24">
        <f>G438*(1-0)</f>
        <v>0</v>
      </c>
      <c r="AQ438" s="26" t="s">
        <v>46</v>
      </c>
      <c r="AV438" s="24">
        <f t="shared" si="572"/>
        <v>0</v>
      </c>
      <c r="AW438" s="24">
        <f t="shared" si="573"/>
        <v>0</v>
      </c>
      <c r="AX438" s="24">
        <f t="shared" si="574"/>
        <v>0</v>
      </c>
      <c r="AY438" s="26" t="s">
        <v>1181</v>
      </c>
      <c r="AZ438" s="26" t="s">
        <v>427</v>
      </c>
      <c r="BA438" s="10" t="s">
        <v>52</v>
      </c>
      <c r="BC438" s="24">
        <f t="shared" si="575"/>
        <v>0</v>
      </c>
      <c r="BD438" s="24">
        <f t="shared" si="576"/>
        <v>0</v>
      </c>
      <c r="BE438" s="24">
        <v>0</v>
      </c>
      <c r="BF438" s="24">
        <f>435</f>
        <v>435</v>
      </c>
      <c r="BH438" s="24">
        <f t="shared" si="577"/>
        <v>0</v>
      </c>
      <c r="BI438" s="24">
        <f t="shared" si="578"/>
        <v>0</v>
      </c>
      <c r="BJ438" s="24">
        <f t="shared" si="579"/>
        <v>0</v>
      </c>
      <c r="BK438" s="26" t="s">
        <v>53</v>
      </c>
      <c r="BL438" s="24"/>
      <c r="BW438" s="24">
        <v>21</v>
      </c>
      <c r="BX438" s="4" t="s">
        <v>1079</v>
      </c>
    </row>
    <row r="439" spans="1:76" ht="14.4" x14ac:dyDescent="0.3">
      <c r="A439" s="27" t="s">
        <v>43</v>
      </c>
      <c r="B439" s="28" t="s">
        <v>1214</v>
      </c>
      <c r="C439" s="98" t="s">
        <v>1215</v>
      </c>
      <c r="D439" s="99"/>
      <c r="E439" s="29" t="s">
        <v>3</v>
      </c>
      <c r="F439" s="29" t="s">
        <v>3</v>
      </c>
      <c r="G439" s="29" t="s">
        <v>3</v>
      </c>
      <c r="H439" s="1">
        <f>ROUND(SUM(H440:H469),2)</f>
        <v>0</v>
      </c>
      <c r="I439" s="1">
        <f>ROUND(SUM(I440:I469),2)</f>
        <v>0</v>
      </c>
      <c r="J439" s="1">
        <f>ROUND(SUM(J440:J469),2)</f>
        <v>0</v>
      </c>
      <c r="K439" s="30"/>
      <c r="AI439" s="10" t="s">
        <v>43</v>
      </c>
      <c r="AS439" s="1">
        <f>SUM(AJ440:AJ469)</f>
        <v>0</v>
      </c>
      <c r="AT439" s="1">
        <f>SUM(AK440:AK469)</f>
        <v>0</v>
      </c>
      <c r="AU439" s="1">
        <f>SUM(AL440:AL469)</f>
        <v>0</v>
      </c>
    </row>
    <row r="440" spans="1:76" ht="14.4" x14ac:dyDescent="0.3">
      <c r="A440" s="2" t="s">
        <v>1216</v>
      </c>
      <c r="B440" s="3" t="s">
        <v>1217</v>
      </c>
      <c r="C440" s="82" t="s">
        <v>1218</v>
      </c>
      <c r="D440" s="81"/>
      <c r="E440" s="3" t="s">
        <v>91</v>
      </c>
      <c r="F440" s="24">
        <v>24</v>
      </c>
      <c r="G440" s="180">
        <v>0</v>
      </c>
      <c r="H440" s="24">
        <f t="shared" ref="H440:H469" si="580">ROUND(F440*AO440,2)</f>
        <v>0</v>
      </c>
      <c r="I440" s="24">
        <f t="shared" ref="I440:I469" si="581">ROUND(F440*AP440,2)</f>
        <v>0</v>
      </c>
      <c r="J440" s="24">
        <f t="shared" ref="J440:J469" si="582">ROUND(F440*G440,2)</f>
        <v>0</v>
      </c>
      <c r="K440" s="25"/>
      <c r="Z440" s="24">
        <f t="shared" ref="Z440:Z469" si="583">ROUND(IF(AQ440="5",BJ440,0),2)</f>
        <v>0</v>
      </c>
      <c r="AB440" s="24">
        <f t="shared" ref="AB440:AB469" si="584">ROUND(IF(AQ440="1",BH440,0),2)</f>
        <v>0</v>
      </c>
      <c r="AC440" s="24">
        <f t="shared" ref="AC440:AC469" si="585">ROUND(IF(AQ440="1",BI440,0),2)</f>
        <v>0</v>
      </c>
      <c r="AD440" s="24">
        <f t="shared" ref="AD440:AD469" si="586">ROUND(IF(AQ440="7",BH440,0),2)</f>
        <v>0</v>
      </c>
      <c r="AE440" s="24">
        <f t="shared" ref="AE440:AE469" si="587">ROUND(IF(AQ440="7",BI440,0),2)</f>
        <v>0</v>
      </c>
      <c r="AF440" s="24">
        <f t="shared" ref="AF440:AF469" si="588">ROUND(IF(AQ440="2",BH440,0),2)</f>
        <v>0</v>
      </c>
      <c r="AG440" s="24">
        <f t="shared" ref="AG440:AG469" si="589">ROUND(IF(AQ440="2",BI440,0),2)</f>
        <v>0</v>
      </c>
      <c r="AH440" s="24">
        <f t="shared" ref="AH440:AH469" si="590">ROUND(IF(AQ440="0",BJ440,0),2)</f>
        <v>0</v>
      </c>
      <c r="AI440" s="10" t="s">
        <v>43</v>
      </c>
      <c r="AJ440" s="24">
        <f t="shared" ref="AJ440:AJ469" si="591">IF(AN440=0,J440,0)</f>
        <v>0</v>
      </c>
      <c r="AK440" s="24">
        <f t="shared" ref="AK440:AK469" si="592">IF(AN440=12,J440,0)</f>
        <v>0</v>
      </c>
      <c r="AL440" s="24">
        <f t="shared" ref="AL440:AL469" si="593">IF(AN440=21,J440,0)</f>
        <v>0</v>
      </c>
      <c r="AN440" s="24">
        <v>21</v>
      </c>
      <c r="AO440" s="24">
        <f>G440*0.287564767</f>
        <v>0</v>
      </c>
      <c r="AP440" s="24">
        <f>G440*(1-0.287564767)</f>
        <v>0</v>
      </c>
      <c r="AQ440" s="26" t="s">
        <v>46</v>
      </c>
      <c r="AV440" s="24">
        <f t="shared" ref="AV440:AV469" si="594">ROUND(AW440+AX440,2)</f>
        <v>0</v>
      </c>
      <c r="AW440" s="24">
        <f t="shared" ref="AW440:AW469" si="595">ROUND(F440*AO440,2)</f>
        <v>0</v>
      </c>
      <c r="AX440" s="24">
        <f t="shared" ref="AX440:AX469" si="596">ROUND(F440*AP440,2)</f>
        <v>0</v>
      </c>
      <c r="AY440" s="26" t="s">
        <v>1219</v>
      </c>
      <c r="AZ440" s="26" t="s">
        <v>427</v>
      </c>
      <c r="BA440" s="10" t="s">
        <v>52</v>
      </c>
      <c r="BC440" s="24">
        <f t="shared" ref="BC440:BC469" si="597">AW440+AX440</f>
        <v>0</v>
      </c>
      <c r="BD440" s="24">
        <f t="shared" ref="BD440:BD469" si="598">G440/(100-BE440)*100</f>
        <v>0</v>
      </c>
      <c r="BE440" s="24">
        <v>0</v>
      </c>
      <c r="BF440" s="24">
        <f>437</f>
        <v>437</v>
      </c>
      <c r="BH440" s="24">
        <f t="shared" ref="BH440:BH469" si="599">F440*AO440</f>
        <v>0</v>
      </c>
      <c r="BI440" s="24">
        <f t="shared" ref="BI440:BI469" si="600">F440*AP440</f>
        <v>0</v>
      </c>
      <c r="BJ440" s="24">
        <f t="shared" ref="BJ440:BJ469" si="601">F440*G440</f>
        <v>0</v>
      </c>
      <c r="BK440" s="26" t="s">
        <v>53</v>
      </c>
      <c r="BL440" s="24"/>
      <c r="BW440" s="24">
        <v>21</v>
      </c>
      <c r="BX440" s="4" t="s">
        <v>1218</v>
      </c>
    </row>
    <row r="441" spans="1:76" ht="14.4" x14ac:dyDescent="0.3">
      <c r="A441" s="2" t="s">
        <v>1220</v>
      </c>
      <c r="B441" s="3" t="s">
        <v>1221</v>
      </c>
      <c r="C441" s="82" t="s">
        <v>1222</v>
      </c>
      <c r="D441" s="81"/>
      <c r="E441" s="3" t="s">
        <v>91</v>
      </c>
      <c r="F441" s="24">
        <v>12</v>
      </c>
      <c r="G441" s="180">
        <v>0</v>
      </c>
      <c r="H441" s="24">
        <f t="shared" si="580"/>
        <v>0</v>
      </c>
      <c r="I441" s="24">
        <f t="shared" si="581"/>
        <v>0</v>
      </c>
      <c r="J441" s="24">
        <f t="shared" si="582"/>
        <v>0</v>
      </c>
      <c r="K441" s="25"/>
      <c r="Z441" s="24">
        <f t="shared" si="583"/>
        <v>0</v>
      </c>
      <c r="AB441" s="24">
        <f t="shared" si="584"/>
        <v>0</v>
      </c>
      <c r="AC441" s="24">
        <f t="shared" si="585"/>
        <v>0</v>
      </c>
      <c r="AD441" s="24">
        <f t="shared" si="586"/>
        <v>0</v>
      </c>
      <c r="AE441" s="24">
        <f t="shared" si="587"/>
        <v>0</v>
      </c>
      <c r="AF441" s="24">
        <f t="shared" si="588"/>
        <v>0</v>
      </c>
      <c r="AG441" s="24">
        <f t="shared" si="589"/>
        <v>0</v>
      </c>
      <c r="AH441" s="24">
        <f t="shared" si="590"/>
        <v>0</v>
      </c>
      <c r="AI441" s="10" t="s">
        <v>43</v>
      </c>
      <c r="AJ441" s="24">
        <f t="shared" si="591"/>
        <v>0</v>
      </c>
      <c r="AK441" s="24">
        <f t="shared" si="592"/>
        <v>0</v>
      </c>
      <c r="AL441" s="24">
        <f t="shared" si="593"/>
        <v>0</v>
      </c>
      <c r="AN441" s="24">
        <v>21</v>
      </c>
      <c r="AO441" s="24">
        <f>G441*0.294478528</f>
        <v>0</v>
      </c>
      <c r="AP441" s="24">
        <f>G441*(1-0.294478528)</f>
        <v>0</v>
      </c>
      <c r="AQ441" s="26" t="s">
        <v>46</v>
      </c>
      <c r="AV441" s="24">
        <f t="shared" si="594"/>
        <v>0</v>
      </c>
      <c r="AW441" s="24">
        <f t="shared" si="595"/>
        <v>0</v>
      </c>
      <c r="AX441" s="24">
        <f t="shared" si="596"/>
        <v>0</v>
      </c>
      <c r="AY441" s="26" t="s">
        <v>1219</v>
      </c>
      <c r="AZ441" s="26" t="s">
        <v>427</v>
      </c>
      <c r="BA441" s="10" t="s">
        <v>52</v>
      </c>
      <c r="BC441" s="24">
        <f t="shared" si="597"/>
        <v>0</v>
      </c>
      <c r="BD441" s="24">
        <f t="shared" si="598"/>
        <v>0</v>
      </c>
      <c r="BE441" s="24">
        <v>0</v>
      </c>
      <c r="BF441" s="24">
        <f>438</f>
        <v>438</v>
      </c>
      <c r="BH441" s="24">
        <f t="shared" si="599"/>
        <v>0</v>
      </c>
      <c r="BI441" s="24">
        <f t="shared" si="600"/>
        <v>0</v>
      </c>
      <c r="BJ441" s="24">
        <f t="shared" si="601"/>
        <v>0</v>
      </c>
      <c r="BK441" s="26" t="s">
        <v>53</v>
      </c>
      <c r="BL441" s="24"/>
      <c r="BW441" s="24">
        <v>21</v>
      </c>
      <c r="BX441" s="4" t="s">
        <v>1222</v>
      </c>
    </row>
    <row r="442" spans="1:76" ht="14.4" x14ac:dyDescent="0.3">
      <c r="A442" s="2" t="s">
        <v>1223</v>
      </c>
      <c r="B442" s="3" t="s">
        <v>1224</v>
      </c>
      <c r="C442" s="82" t="s">
        <v>1225</v>
      </c>
      <c r="D442" s="81"/>
      <c r="E442" s="3" t="s">
        <v>91</v>
      </c>
      <c r="F442" s="24">
        <v>10</v>
      </c>
      <c r="G442" s="180">
        <v>0</v>
      </c>
      <c r="H442" s="24">
        <f t="shared" si="580"/>
        <v>0</v>
      </c>
      <c r="I442" s="24">
        <f t="shared" si="581"/>
        <v>0</v>
      </c>
      <c r="J442" s="24">
        <f t="shared" si="582"/>
        <v>0</v>
      </c>
      <c r="K442" s="25"/>
      <c r="Z442" s="24">
        <f t="shared" si="583"/>
        <v>0</v>
      </c>
      <c r="AB442" s="24">
        <f t="shared" si="584"/>
        <v>0</v>
      </c>
      <c r="AC442" s="24">
        <f t="shared" si="585"/>
        <v>0</v>
      </c>
      <c r="AD442" s="24">
        <f t="shared" si="586"/>
        <v>0</v>
      </c>
      <c r="AE442" s="24">
        <f t="shared" si="587"/>
        <v>0</v>
      </c>
      <c r="AF442" s="24">
        <f t="shared" si="588"/>
        <v>0</v>
      </c>
      <c r="AG442" s="24">
        <f t="shared" si="589"/>
        <v>0</v>
      </c>
      <c r="AH442" s="24">
        <f t="shared" si="590"/>
        <v>0</v>
      </c>
      <c r="AI442" s="10" t="s">
        <v>43</v>
      </c>
      <c r="AJ442" s="24">
        <f t="shared" si="591"/>
        <v>0</v>
      </c>
      <c r="AK442" s="24">
        <f t="shared" si="592"/>
        <v>0</v>
      </c>
      <c r="AL442" s="24">
        <f t="shared" si="593"/>
        <v>0</v>
      </c>
      <c r="AN442" s="24">
        <v>21</v>
      </c>
      <c r="AO442" s="24">
        <f>G442*0.315068493</f>
        <v>0</v>
      </c>
      <c r="AP442" s="24">
        <f>G442*(1-0.315068493)</f>
        <v>0</v>
      </c>
      <c r="AQ442" s="26" t="s">
        <v>46</v>
      </c>
      <c r="AV442" s="24">
        <f t="shared" si="594"/>
        <v>0</v>
      </c>
      <c r="AW442" s="24">
        <f t="shared" si="595"/>
        <v>0</v>
      </c>
      <c r="AX442" s="24">
        <f t="shared" si="596"/>
        <v>0</v>
      </c>
      <c r="AY442" s="26" t="s">
        <v>1219</v>
      </c>
      <c r="AZ442" s="26" t="s">
        <v>427</v>
      </c>
      <c r="BA442" s="10" t="s">
        <v>52</v>
      </c>
      <c r="BC442" s="24">
        <f t="shared" si="597"/>
        <v>0</v>
      </c>
      <c r="BD442" s="24">
        <f t="shared" si="598"/>
        <v>0</v>
      </c>
      <c r="BE442" s="24">
        <v>0</v>
      </c>
      <c r="BF442" s="24">
        <f>439</f>
        <v>439</v>
      </c>
      <c r="BH442" s="24">
        <f t="shared" si="599"/>
        <v>0</v>
      </c>
      <c r="BI442" s="24">
        <f t="shared" si="600"/>
        <v>0</v>
      </c>
      <c r="BJ442" s="24">
        <f t="shared" si="601"/>
        <v>0</v>
      </c>
      <c r="BK442" s="26" t="s">
        <v>53</v>
      </c>
      <c r="BL442" s="24"/>
      <c r="BW442" s="24">
        <v>21</v>
      </c>
      <c r="BX442" s="4" t="s">
        <v>1225</v>
      </c>
    </row>
    <row r="443" spans="1:76" ht="14.4" x14ac:dyDescent="0.3">
      <c r="A443" s="2" t="s">
        <v>1226</v>
      </c>
      <c r="B443" s="3" t="s">
        <v>1227</v>
      </c>
      <c r="C443" s="82" t="s">
        <v>1228</v>
      </c>
      <c r="D443" s="81"/>
      <c r="E443" s="3" t="s">
        <v>91</v>
      </c>
      <c r="F443" s="24">
        <v>18</v>
      </c>
      <c r="G443" s="180">
        <v>0</v>
      </c>
      <c r="H443" s="24">
        <f t="shared" si="580"/>
        <v>0</v>
      </c>
      <c r="I443" s="24">
        <f t="shared" si="581"/>
        <v>0</v>
      </c>
      <c r="J443" s="24">
        <f t="shared" si="582"/>
        <v>0</v>
      </c>
      <c r="K443" s="25"/>
      <c r="Z443" s="24">
        <f t="shared" si="583"/>
        <v>0</v>
      </c>
      <c r="AB443" s="24">
        <f t="shared" si="584"/>
        <v>0</v>
      </c>
      <c r="AC443" s="24">
        <f t="shared" si="585"/>
        <v>0</v>
      </c>
      <c r="AD443" s="24">
        <f t="shared" si="586"/>
        <v>0</v>
      </c>
      <c r="AE443" s="24">
        <f t="shared" si="587"/>
        <v>0</v>
      </c>
      <c r="AF443" s="24">
        <f t="shared" si="588"/>
        <v>0</v>
      </c>
      <c r="AG443" s="24">
        <f t="shared" si="589"/>
        <v>0</v>
      </c>
      <c r="AH443" s="24">
        <f t="shared" si="590"/>
        <v>0</v>
      </c>
      <c r="AI443" s="10" t="s">
        <v>43</v>
      </c>
      <c r="AJ443" s="24">
        <f t="shared" si="591"/>
        <v>0</v>
      </c>
      <c r="AK443" s="24">
        <f t="shared" si="592"/>
        <v>0</v>
      </c>
      <c r="AL443" s="24">
        <f t="shared" si="593"/>
        <v>0</v>
      </c>
      <c r="AN443" s="24">
        <v>21</v>
      </c>
      <c r="AO443" s="24">
        <f>G443*0.53147877</f>
        <v>0</v>
      </c>
      <c r="AP443" s="24">
        <f>G443*(1-0.53147877)</f>
        <v>0</v>
      </c>
      <c r="AQ443" s="26" t="s">
        <v>46</v>
      </c>
      <c r="AV443" s="24">
        <f t="shared" si="594"/>
        <v>0</v>
      </c>
      <c r="AW443" s="24">
        <f t="shared" si="595"/>
        <v>0</v>
      </c>
      <c r="AX443" s="24">
        <f t="shared" si="596"/>
        <v>0</v>
      </c>
      <c r="AY443" s="26" t="s">
        <v>1219</v>
      </c>
      <c r="AZ443" s="26" t="s">
        <v>427</v>
      </c>
      <c r="BA443" s="10" t="s">
        <v>52</v>
      </c>
      <c r="BC443" s="24">
        <f t="shared" si="597"/>
        <v>0</v>
      </c>
      <c r="BD443" s="24">
        <f t="shared" si="598"/>
        <v>0</v>
      </c>
      <c r="BE443" s="24">
        <v>0</v>
      </c>
      <c r="BF443" s="24">
        <f>440</f>
        <v>440</v>
      </c>
      <c r="BH443" s="24">
        <f t="shared" si="599"/>
        <v>0</v>
      </c>
      <c r="BI443" s="24">
        <f t="shared" si="600"/>
        <v>0</v>
      </c>
      <c r="BJ443" s="24">
        <f t="shared" si="601"/>
        <v>0</v>
      </c>
      <c r="BK443" s="26" t="s">
        <v>53</v>
      </c>
      <c r="BL443" s="24"/>
      <c r="BW443" s="24">
        <v>21</v>
      </c>
      <c r="BX443" s="4" t="s">
        <v>1228</v>
      </c>
    </row>
    <row r="444" spans="1:76" ht="14.4" x14ac:dyDescent="0.3">
      <c r="A444" s="2" t="s">
        <v>1229</v>
      </c>
      <c r="B444" s="3" t="s">
        <v>1230</v>
      </c>
      <c r="C444" s="82" t="s">
        <v>1231</v>
      </c>
      <c r="D444" s="81"/>
      <c r="E444" s="3" t="s">
        <v>174</v>
      </c>
      <c r="F444" s="24">
        <v>8</v>
      </c>
      <c r="G444" s="180">
        <v>0</v>
      </c>
      <c r="H444" s="24">
        <f t="shared" si="580"/>
        <v>0</v>
      </c>
      <c r="I444" s="24">
        <f t="shared" si="581"/>
        <v>0</v>
      </c>
      <c r="J444" s="24">
        <f t="shared" si="582"/>
        <v>0</v>
      </c>
      <c r="K444" s="25"/>
      <c r="Z444" s="24">
        <f t="shared" si="583"/>
        <v>0</v>
      </c>
      <c r="AB444" s="24">
        <f t="shared" si="584"/>
        <v>0</v>
      </c>
      <c r="AC444" s="24">
        <f t="shared" si="585"/>
        <v>0</v>
      </c>
      <c r="AD444" s="24">
        <f t="shared" si="586"/>
        <v>0</v>
      </c>
      <c r="AE444" s="24">
        <f t="shared" si="587"/>
        <v>0</v>
      </c>
      <c r="AF444" s="24">
        <f t="shared" si="588"/>
        <v>0</v>
      </c>
      <c r="AG444" s="24">
        <f t="shared" si="589"/>
        <v>0</v>
      </c>
      <c r="AH444" s="24">
        <f t="shared" si="590"/>
        <v>0</v>
      </c>
      <c r="AI444" s="10" t="s">
        <v>43</v>
      </c>
      <c r="AJ444" s="24">
        <f t="shared" si="591"/>
        <v>0</v>
      </c>
      <c r="AK444" s="24">
        <f t="shared" si="592"/>
        <v>0</v>
      </c>
      <c r="AL444" s="24">
        <f t="shared" si="593"/>
        <v>0</v>
      </c>
      <c r="AN444" s="24">
        <v>21</v>
      </c>
      <c r="AO444" s="24">
        <f>G444*0.237388724</f>
        <v>0</v>
      </c>
      <c r="AP444" s="24">
        <f>G444*(1-0.237388724)</f>
        <v>0</v>
      </c>
      <c r="AQ444" s="26" t="s">
        <v>46</v>
      </c>
      <c r="AV444" s="24">
        <f t="shared" si="594"/>
        <v>0</v>
      </c>
      <c r="AW444" s="24">
        <f t="shared" si="595"/>
        <v>0</v>
      </c>
      <c r="AX444" s="24">
        <f t="shared" si="596"/>
        <v>0</v>
      </c>
      <c r="AY444" s="26" t="s">
        <v>1219</v>
      </c>
      <c r="AZ444" s="26" t="s">
        <v>427</v>
      </c>
      <c r="BA444" s="10" t="s">
        <v>52</v>
      </c>
      <c r="BC444" s="24">
        <f t="shared" si="597"/>
        <v>0</v>
      </c>
      <c r="BD444" s="24">
        <f t="shared" si="598"/>
        <v>0</v>
      </c>
      <c r="BE444" s="24">
        <v>0</v>
      </c>
      <c r="BF444" s="24">
        <f>441</f>
        <v>441</v>
      </c>
      <c r="BH444" s="24">
        <f t="shared" si="599"/>
        <v>0</v>
      </c>
      <c r="BI444" s="24">
        <f t="shared" si="600"/>
        <v>0</v>
      </c>
      <c r="BJ444" s="24">
        <f t="shared" si="601"/>
        <v>0</v>
      </c>
      <c r="BK444" s="26" t="s">
        <v>53</v>
      </c>
      <c r="BL444" s="24"/>
      <c r="BW444" s="24">
        <v>21</v>
      </c>
      <c r="BX444" s="4" t="s">
        <v>1231</v>
      </c>
    </row>
    <row r="445" spans="1:76" ht="14.4" x14ac:dyDescent="0.3">
      <c r="A445" s="2" t="s">
        <v>1232</v>
      </c>
      <c r="B445" s="3" t="s">
        <v>1233</v>
      </c>
      <c r="C445" s="82" t="s">
        <v>1234</v>
      </c>
      <c r="D445" s="81"/>
      <c r="E445" s="3" t="s">
        <v>174</v>
      </c>
      <c r="F445" s="24">
        <v>7</v>
      </c>
      <c r="G445" s="180">
        <v>0</v>
      </c>
      <c r="H445" s="24">
        <f t="shared" si="580"/>
        <v>0</v>
      </c>
      <c r="I445" s="24">
        <f t="shared" si="581"/>
        <v>0</v>
      </c>
      <c r="J445" s="24">
        <f t="shared" si="582"/>
        <v>0</v>
      </c>
      <c r="K445" s="25"/>
      <c r="Z445" s="24">
        <f t="shared" si="583"/>
        <v>0</v>
      </c>
      <c r="AB445" s="24">
        <f t="shared" si="584"/>
        <v>0</v>
      </c>
      <c r="AC445" s="24">
        <f t="shared" si="585"/>
        <v>0</v>
      </c>
      <c r="AD445" s="24">
        <f t="shared" si="586"/>
        <v>0</v>
      </c>
      <c r="AE445" s="24">
        <f t="shared" si="587"/>
        <v>0</v>
      </c>
      <c r="AF445" s="24">
        <f t="shared" si="588"/>
        <v>0</v>
      </c>
      <c r="AG445" s="24">
        <f t="shared" si="589"/>
        <v>0</v>
      </c>
      <c r="AH445" s="24">
        <f t="shared" si="590"/>
        <v>0</v>
      </c>
      <c r="AI445" s="10" t="s">
        <v>43</v>
      </c>
      <c r="AJ445" s="24">
        <f t="shared" si="591"/>
        <v>0</v>
      </c>
      <c r="AK445" s="24">
        <f t="shared" si="592"/>
        <v>0</v>
      </c>
      <c r="AL445" s="24">
        <f t="shared" si="593"/>
        <v>0</v>
      </c>
      <c r="AN445" s="24">
        <v>21</v>
      </c>
      <c r="AO445" s="24">
        <f>G445*0.246334311</f>
        <v>0</v>
      </c>
      <c r="AP445" s="24">
        <f>G445*(1-0.246334311)</f>
        <v>0</v>
      </c>
      <c r="AQ445" s="26" t="s">
        <v>46</v>
      </c>
      <c r="AV445" s="24">
        <f t="shared" si="594"/>
        <v>0</v>
      </c>
      <c r="AW445" s="24">
        <f t="shared" si="595"/>
        <v>0</v>
      </c>
      <c r="AX445" s="24">
        <f t="shared" si="596"/>
        <v>0</v>
      </c>
      <c r="AY445" s="26" t="s">
        <v>1219</v>
      </c>
      <c r="AZ445" s="26" t="s">
        <v>427</v>
      </c>
      <c r="BA445" s="10" t="s">
        <v>52</v>
      </c>
      <c r="BC445" s="24">
        <f t="shared" si="597"/>
        <v>0</v>
      </c>
      <c r="BD445" s="24">
        <f t="shared" si="598"/>
        <v>0</v>
      </c>
      <c r="BE445" s="24">
        <v>0</v>
      </c>
      <c r="BF445" s="24">
        <f>442</f>
        <v>442</v>
      </c>
      <c r="BH445" s="24">
        <f t="shared" si="599"/>
        <v>0</v>
      </c>
      <c r="BI445" s="24">
        <f t="shared" si="600"/>
        <v>0</v>
      </c>
      <c r="BJ445" s="24">
        <f t="shared" si="601"/>
        <v>0</v>
      </c>
      <c r="BK445" s="26" t="s">
        <v>53</v>
      </c>
      <c r="BL445" s="24"/>
      <c r="BW445" s="24">
        <v>21</v>
      </c>
      <c r="BX445" s="4" t="s">
        <v>1234</v>
      </c>
    </row>
    <row r="446" spans="1:76" ht="14.4" x14ac:dyDescent="0.3">
      <c r="A446" s="2" t="s">
        <v>1235</v>
      </c>
      <c r="B446" s="3" t="s">
        <v>1236</v>
      </c>
      <c r="C446" s="82" t="s">
        <v>1237</v>
      </c>
      <c r="D446" s="81"/>
      <c r="E446" s="3" t="s">
        <v>91</v>
      </c>
      <c r="F446" s="24">
        <v>60</v>
      </c>
      <c r="G446" s="180">
        <v>0</v>
      </c>
      <c r="H446" s="24">
        <f t="shared" si="580"/>
        <v>0</v>
      </c>
      <c r="I446" s="24">
        <f t="shared" si="581"/>
        <v>0</v>
      </c>
      <c r="J446" s="24">
        <f t="shared" si="582"/>
        <v>0</v>
      </c>
      <c r="K446" s="25"/>
      <c r="Z446" s="24">
        <f t="shared" si="583"/>
        <v>0</v>
      </c>
      <c r="AB446" s="24">
        <f t="shared" si="584"/>
        <v>0</v>
      </c>
      <c r="AC446" s="24">
        <f t="shared" si="585"/>
        <v>0</v>
      </c>
      <c r="AD446" s="24">
        <f t="shared" si="586"/>
        <v>0</v>
      </c>
      <c r="AE446" s="24">
        <f t="shared" si="587"/>
        <v>0</v>
      </c>
      <c r="AF446" s="24">
        <f t="shared" si="588"/>
        <v>0</v>
      </c>
      <c r="AG446" s="24">
        <f t="shared" si="589"/>
        <v>0</v>
      </c>
      <c r="AH446" s="24">
        <f t="shared" si="590"/>
        <v>0</v>
      </c>
      <c r="AI446" s="10" t="s">
        <v>43</v>
      </c>
      <c r="AJ446" s="24">
        <f t="shared" si="591"/>
        <v>0</v>
      </c>
      <c r="AK446" s="24">
        <f t="shared" si="592"/>
        <v>0</v>
      </c>
      <c r="AL446" s="24">
        <f t="shared" si="593"/>
        <v>0</v>
      </c>
      <c r="AN446" s="24">
        <v>21</v>
      </c>
      <c r="AO446" s="24">
        <f>G446*0.444444444</f>
        <v>0</v>
      </c>
      <c r="AP446" s="24">
        <f>G446*(1-0.444444444)</f>
        <v>0</v>
      </c>
      <c r="AQ446" s="26" t="s">
        <v>46</v>
      </c>
      <c r="AV446" s="24">
        <f t="shared" si="594"/>
        <v>0</v>
      </c>
      <c r="AW446" s="24">
        <f t="shared" si="595"/>
        <v>0</v>
      </c>
      <c r="AX446" s="24">
        <f t="shared" si="596"/>
        <v>0</v>
      </c>
      <c r="AY446" s="26" t="s">
        <v>1219</v>
      </c>
      <c r="AZ446" s="26" t="s">
        <v>427</v>
      </c>
      <c r="BA446" s="10" t="s">
        <v>52</v>
      </c>
      <c r="BC446" s="24">
        <f t="shared" si="597"/>
        <v>0</v>
      </c>
      <c r="BD446" s="24">
        <f t="shared" si="598"/>
        <v>0</v>
      </c>
      <c r="BE446" s="24">
        <v>0</v>
      </c>
      <c r="BF446" s="24">
        <f>443</f>
        <v>443</v>
      </c>
      <c r="BH446" s="24">
        <f t="shared" si="599"/>
        <v>0</v>
      </c>
      <c r="BI446" s="24">
        <f t="shared" si="600"/>
        <v>0</v>
      </c>
      <c r="BJ446" s="24">
        <f t="shared" si="601"/>
        <v>0</v>
      </c>
      <c r="BK446" s="26" t="s">
        <v>53</v>
      </c>
      <c r="BL446" s="24"/>
      <c r="BW446" s="24">
        <v>21</v>
      </c>
      <c r="BX446" s="4" t="s">
        <v>1237</v>
      </c>
    </row>
    <row r="447" spans="1:76" ht="14.4" x14ac:dyDescent="0.3">
      <c r="A447" s="2" t="s">
        <v>1238</v>
      </c>
      <c r="B447" s="3" t="s">
        <v>1239</v>
      </c>
      <c r="C447" s="82" t="s">
        <v>1240</v>
      </c>
      <c r="D447" s="81"/>
      <c r="E447" s="3" t="s">
        <v>174</v>
      </c>
      <c r="F447" s="24">
        <v>250</v>
      </c>
      <c r="G447" s="180">
        <v>0</v>
      </c>
      <c r="H447" s="24">
        <f t="shared" si="580"/>
        <v>0</v>
      </c>
      <c r="I447" s="24">
        <f t="shared" si="581"/>
        <v>0</v>
      </c>
      <c r="J447" s="24">
        <f t="shared" si="582"/>
        <v>0</v>
      </c>
      <c r="K447" s="25"/>
      <c r="Z447" s="24">
        <f t="shared" si="583"/>
        <v>0</v>
      </c>
      <c r="AB447" s="24">
        <f t="shared" si="584"/>
        <v>0</v>
      </c>
      <c r="AC447" s="24">
        <f t="shared" si="585"/>
        <v>0</v>
      </c>
      <c r="AD447" s="24">
        <f t="shared" si="586"/>
        <v>0</v>
      </c>
      <c r="AE447" s="24">
        <f t="shared" si="587"/>
        <v>0</v>
      </c>
      <c r="AF447" s="24">
        <f t="shared" si="588"/>
        <v>0</v>
      </c>
      <c r="AG447" s="24">
        <f t="shared" si="589"/>
        <v>0</v>
      </c>
      <c r="AH447" s="24">
        <f t="shared" si="590"/>
        <v>0</v>
      </c>
      <c r="AI447" s="10" t="s">
        <v>43</v>
      </c>
      <c r="AJ447" s="24">
        <f t="shared" si="591"/>
        <v>0</v>
      </c>
      <c r="AK447" s="24">
        <f t="shared" si="592"/>
        <v>0</v>
      </c>
      <c r="AL447" s="24">
        <f t="shared" si="593"/>
        <v>0</v>
      </c>
      <c r="AN447" s="24">
        <v>21</v>
      </c>
      <c r="AO447" s="24">
        <f>G447*0.5</f>
        <v>0</v>
      </c>
      <c r="AP447" s="24">
        <f>G447*(1-0.5)</f>
        <v>0</v>
      </c>
      <c r="AQ447" s="26" t="s">
        <v>46</v>
      </c>
      <c r="AV447" s="24">
        <f t="shared" si="594"/>
        <v>0</v>
      </c>
      <c r="AW447" s="24">
        <f t="shared" si="595"/>
        <v>0</v>
      </c>
      <c r="AX447" s="24">
        <f t="shared" si="596"/>
        <v>0</v>
      </c>
      <c r="AY447" s="26" t="s">
        <v>1219</v>
      </c>
      <c r="AZ447" s="26" t="s">
        <v>427</v>
      </c>
      <c r="BA447" s="10" t="s">
        <v>52</v>
      </c>
      <c r="BC447" s="24">
        <f t="shared" si="597"/>
        <v>0</v>
      </c>
      <c r="BD447" s="24">
        <f t="shared" si="598"/>
        <v>0</v>
      </c>
      <c r="BE447" s="24">
        <v>0</v>
      </c>
      <c r="BF447" s="24">
        <f>444</f>
        <v>444</v>
      </c>
      <c r="BH447" s="24">
        <f t="shared" si="599"/>
        <v>0</v>
      </c>
      <c r="BI447" s="24">
        <f t="shared" si="600"/>
        <v>0</v>
      </c>
      <c r="BJ447" s="24">
        <f t="shared" si="601"/>
        <v>0</v>
      </c>
      <c r="BK447" s="26" t="s">
        <v>53</v>
      </c>
      <c r="BL447" s="24"/>
      <c r="BW447" s="24">
        <v>21</v>
      </c>
      <c r="BX447" s="4" t="s">
        <v>1240</v>
      </c>
    </row>
    <row r="448" spans="1:76" ht="14.4" x14ac:dyDescent="0.3">
      <c r="A448" s="2" t="s">
        <v>1241</v>
      </c>
      <c r="B448" s="3" t="s">
        <v>1242</v>
      </c>
      <c r="C448" s="82" t="s">
        <v>1243</v>
      </c>
      <c r="D448" s="81"/>
      <c r="E448" s="3" t="s">
        <v>174</v>
      </c>
      <c r="F448" s="24">
        <v>1</v>
      </c>
      <c r="G448" s="180">
        <v>0</v>
      </c>
      <c r="H448" s="24">
        <f t="shared" si="580"/>
        <v>0</v>
      </c>
      <c r="I448" s="24">
        <f t="shared" si="581"/>
        <v>0</v>
      </c>
      <c r="J448" s="24">
        <f t="shared" si="582"/>
        <v>0</v>
      </c>
      <c r="K448" s="25"/>
      <c r="Z448" s="24">
        <f t="shared" si="583"/>
        <v>0</v>
      </c>
      <c r="AB448" s="24">
        <f t="shared" si="584"/>
        <v>0</v>
      </c>
      <c r="AC448" s="24">
        <f t="shared" si="585"/>
        <v>0</v>
      </c>
      <c r="AD448" s="24">
        <f t="shared" si="586"/>
        <v>0</v>
      </c>
      <c r="AE448" s="24">
        <f t="shared" si="587"/>
        <v>0</v>
      </c>
      <c r="AF448" s="24">
        <f t="shared" si="588"/>
        <v>0</v>
      </c>
      <c r="AG448" s="24">
        <f t="shared" si="589"/>
        <v>0</v>
      </c>
      <c r="AH448" s="24">
        <f t="shared" si="590"/>
        <v>0</v>
      </c>
      <c r="AI448" s="10" t="s">
        <v>43</v>
      </c>
      <c r="AJ448" s="24">
        <f t="shared" si="591"/>
        <v>0</v>
      </c>
      <c r="AK448" s="24">
        <f t="shared" si="592"/>
        <v>0</v>
      </c>
      <c r="AL448" s="24">
        <f t="shared" si="593"/>
        <v>0</v>
      </c>
      <c r="AN448" s="24">
        <v>21</v>
      </c>
      <c r="AO448" s="24">
        <f>G448*0.259259259</f>
        <v>0</v>
      </c>
      <c r="AP448" s="24">
        <f>G448*(1-0.259259259)</f>
        <v>0</v>
      </c>
      <c r="AQ448" s="26" t="s">
        <v>46</v>
      </c>
      <c r="AV448" s="24">
        <f t="shared" si="594"/>
        <v>0</v>
      </c>
      <c r="AW448" s="24">
        <f t="shared" si="595"/>
        <v>0</v>
      </c>
      <c r="AX448" s="24">
        <f t="shared" si="596"/>
        <v>0</v>
      </c>
      <c r="AY448" s="26" t="s">
        <v>1219</v>
      </c>
      <c r="AZ448" s="26" t="s">
        <v>427</v>
      </c>
      <c r="BA448" s="10" t="s">
        <v>52</v>
      </c>
      <c r="BC448" s="24">
        <f t="shared" si="597"/>
        <v>0</v>
      </c>
      <c r="BD448" s="24">
        <f t="shared" si="598"/>
        <v>0</v>
      </c>
      <c r="BE448" s="24">
        <v>0</v>
      </c>
      <c r="BF448" s="24">
        <f>445</f>
        <v>445</v>
      </c>
      <c r="BH448" s="24">
        <f t="shared" si="599"/>
        <v>0</v>
      </c>
      <c r="BI448" s="24">
        <f t="shared" si="600"/>
        <v>0</v>
      </c>
      <c r="BJ448" s="24">
        <f t="shared" si="601"/>
        <v>0</v>
      </c>
      <c r="BK448" s="26" t="s">
        <v>53</v>
      </c>
      <c r="BL448" s="24"/>
      <c r="BW448" s="24">
        <v>21</v>
      </c>
      <c r="BX448" s="4" t="s">
        <v>1243</v>
      </c>
    </row>
    <row r="449" spans="1:76" ht="14.4" x14ac:dyDescent="0.3">
      <c r="A449" s="2" t="s">
        <v>1244</v>
      </c>
      <c r="B449" s="3" t="s">
        <v>1245</v>
      </c>
      <c r="C449" s="82" t="s">
        <v>1246</v>
      </c>
      <c r="D449" s="81"/>
      <c r="E449" s="3" t="s">
        <v>174</v>
      </c>
      <c r="F449" s="24">
        <v>60</v>
      </c>
      <c r="G449" s="180">
        <v>0</v>
      </c>
      <c r="H449" s="24">
        <f t="shared" si="580"/>
        <v>0</v>
      </c>
      <c r="I449" s="24">
        <f t="shared" si="581"/>
        <v>0</v>
      </c>
      <c r="J449" s="24">
        <f t="shared" si="582"/>
        <v>0</v>
      </c>
      <c r="K449" s="25"/>
      <c r="Z449" s="24">
        <f t="shared" si="583"/>
        <v>0</v>
      </c>
      <c r="AB449" s="24">
        <f t="shared" si="584"/>
        <v>0</v>
      </c>
      <c r="AC449" s="24">
        <f t="shared" si="585"/>
        <v>0</v>
      </c>
      <c r="AD449" s="24">
        <f t="shared" si="586"/>
        <v>0</v>
      </c>
      <c r="AE449" s="24">
        <f t="shared" si="587"/>
        <v>0</v>
      </c>
      <c r="AF449" s="24">
        <f t="shared" si="588"/>
        <v>0</v>
      </c>
      <c r="AG449" s="24">
        <f t="shared" si="589"/>
        <v>0</v>
      </c>
      <c r="AH449" s="24">
        <f t="shared" si="590"/>
        <v>0</v>
      </c>
      <c r="AI449" s="10" t="s">
        <v>43</v>
      </c>
      <c r="AJ449" s="24">
        <f t="shared" si="591"/>
        <v>0</v>
      </c>
      <c r="AK449" s="24">
        <f t="shared" si="592"/>
        <v>0</v>
      </c>
      <c r="AL449" s="24">
        <f t="shared" si="593"/>
        <v>0</v>
      </c>
      <c r="AN449" s="24">
        <v>21</v>
      </c>
      <c r="AO449" s="24">
        <f>G449*0.230769231</f>
        <v>0</v>
      </c>
      <c r="AP449" s="24">
        <f>G449*(1-0.230769231)</f>
        <v>0</v>
      </c>
      <c r="AQ449" s="26" t="s">
        <v>46</v>
      </c>
      <c r="AV449" s="24">
        <f t="shared" si="594"/>
        <v>0</v>
      </c>
      <c r="AW449" s="24">
        <f t="shared" si="595"/>
        <v>0</v>
      </c>
      <c r="AX449" s="24">
        <f t="shared" si="596"/>
        <v>0</v>
      </c>
      <c r="AY449" s="26" t="s">
        <v>1219</v>
      </c>
      <c r="AZ449" s="26" t="s">
        <v>427</v>
      </c>
      <c r="BA449" s="10" t="s">
        <v>52</v>
      </c>
      <c r="BC449" s="24">
        <f t="shared" si="597"/>
        <v>0</v>
      </c>
      <c r="BD449" s="24">
        <f t="shared" si="598"/>
        <v>0</v>
      </c>
      <c r="BE449" s="24">
        <v>0</v>
      </c>
      <c r="BF449" s="24">
        <f>446</f>
        <v>446</v>
      </c>
      <c r="BH449" s="24">
        <f t="shared" si="599"/>
        <v>0</v>
      </c>
      <c r="BI449" s="24">
        <f t="shared" si="600"/>
        <v>0</v>
      </c>
      <c r="BJ449" s="24">
        <f t="shared" si="601"/>
        <v>0</v>
      </c>
      <c r="BK449" s="26" t="s">
        <v>53</v>
      </c>
      <c r="BL449" s="24"/>
      <c r="BW449" s="24">
        <v>21</v>
      </c>
      <c r="BX449" s="4" t="s">
        <v>1246</v>
      </c>
    </row>
    <row r="450" spans="1:76" ht="14.4" x14ac:dyDescent="0.3">
      <c r="A450" s="2" t="s">
        <v>1247</v>
      </c>
      <c r="B450" s="3" t="s">
        <v>1248</v>
      </c>
      <c r="C450" s="82" t="s">
        <v>1249</v>
      </c>
      <c r="D450" s="81"/>
      <c r="E450" s="3" t="s">
        <v>174</v>
      </c>
      <c r="F450" s="24">
        <v>120</v>
      </c>
      <c r="G450" s="180">
        <v>0</v>
      </c>
      <c r="H450" s="24">
        <f t="shared" si="580"/>
        <v>0</v>
      </c>
      <c r="I450" s="24">
        <f t="shared" si="581"/>
        <v>0</v>
      </c>
      <c r="J450" s="24">
        <f t="shared" si="582"/>
        <v>0</v>
      </c>
      <c r="K450" s="25"/>
      <c r="Z450" s="24">
        <f t="shared" si="583"/>
        <v>0</v>
      </c>
      <c r="AB450" s="24">
        <f t="shared" si="584"/>
        <v>0</v>
      </c>
      <c r="AC450" s="24">
        <f t="shared" si="585"/>
        <v>0</v>
      </c>
      <c r="AD450" s="24">
        <f t="shared" si="586"/>
        <v>0</v>
      </c>
      <c r="AE450" s="24">
        <f t="shared" si="587"/>
        <v>0</v>
      </c>
      <c r="AF450" s="24">
        <f t="shared" si="588"/>
        <v>0</v>
      </c>
      <c r="AG450" s="24">
        <f t="shared" si="589"/>
        <v>0</v>
      </c>
      <c r="AH450" s="24">
        <f t="shared" si="590"/>
        <v>0</v>
      </c>
      <c r="AI450" s="10" t="s">
        <v>43</v>
      </c>
      <c r="AJ450" s="24">
        <f t="shared" si="591"/>
        <v>0</v>
      </c>
      <c r="AK450" s="24">
        <f t="shared" si="592"/>
        <v>0</v>
      </c>
      <c r="AL450" s="24">
        <f t="shared" si="593"/>
        <v>0</v>
      </c>
      <c r="AN450" s="24">
        <v>21</v>
      </c>
      <c r="AO450" s="24">
        <f>G450*0.285714286</f>
        <v>0</v>
      </c>
      <c r="AP450" s="24">
        <f>G450*(1-0.285714286)</f>
        <v>0</v>
      </c>
      <c r="AQ450" s="26" t="s">
        <v>46</v>
      </c>
      <c r="AV450" s="24">
        <f t="shared" si="594"/>
        <v>0</v>
      </c>
      <c r="AW450" s="24">
        <f t="shared" si="595"/>
        <v>0</v>
      </c>
      <c r="AX450" s="24">
        <f t="shared" si="596"/>
        <v>0</v>
      </c>
      <c r="AY450" s="26" t="s">
        <v>1219</v>
      </c>
      <c r="AZ450" s="26" t="s">
        <v>427</v>
      </c>
      <c r="BA450" s="10" t="s">
        <v>52</v>
      </c>
      <c r="BC450" s="24">
        <f t="shared" si="597"/>
        <v>0</v>
      </c>
      <c r="BD450" s="24">
        <f t="shared" si="598"/>
        <v>0</v>
      </c>
      <c r="BE450" s="24">
        <v>0</v>
      </c>
      <c r="BF450" s="24">
        <f>447</f>
        <v>447</v>
      </c>
      <c r="BH450" s="24">
        <f t="shared" si="599"/>
        <v>0</v>
      </c>
      <c r="BI450" s="24">
        <f t="shared" si="600"/>
        <v>0</v>
      </c>
      <c r="BJ450" s="24">
        <f t="shared" si="601"/>
        <v>0</v>
      </c>
      <c r="BK450" s="26" t="s">
        <v>53</v>
      </c>
      <c r="BL450" s="24"/>
      <c r="BW450" s="24">
        <v>21</v>
      </c>
      <c r="BX450" s="4" t="s">
        <v>1249</v>
      </c>
    </row>
    <row r="451" spans="1:76" ht="14.4" x14ac:dyDescent="0.3">
      <c r="A451" s="2" t="s">
        <v>1250</v>
      </c>
      <c r="B451" s="3" t="s">
        <v>1251</v>
      </c>
      <c r="C451" s="82" t="s">
        <v>1252</v>
      </c>
      <c r="D451" s="81"/>
      <c r="E451" s="3" t="s">
        <v>91</v>
      </c>
      <c r="F451" s="24">
        <v>64</v>
      </c>
      <c r="G451" s="180">
        <v>0</v>
      </c>
      <c r="H451" s="24">
        <f t="shared" si="580"/>
        <v>0</v>
      </c>
      <c r="I451" s="24">
        <f t="shared" si="581"/>
        <v>0</v>
      </c>
      <c r="J451" s="24">
        <f t="shared" si="582"/>
        <v>0</v>
      </c>
      <c r="K451" s="25"/>
      <c r="Z451" s="24">
        <f t="shared" si="583"/>
        <v>0</v>
      </c>
      <c r="AB451" s="24">
        <f t="shared" si="584"/>
        <v>0</v>
      </c>
      <c r="AC451" s="24">
        <f t="shared" si="585"/>
        <v>0</v>
      </c>
      <c r="AD451" s="24">
        <f t="shared" si="586"/>
        <v>0</v>
      </c>
      <c r="AE451" s="24">
        <f t="shared" si="587"/>
        <v>0</v>
      </c>
      <c r="AF451" s="24">
        <f t="shared" si="588"/>
        <v>0</v>
      </c>
      <c r="AG451" s="24">
        <f t="shared" si="589"/>
        <v>0</v>
      </c>
      <c r="AH451" s="24">
        <f t="shared" si="590"/>
        <v>0</v>
      </c>
      <c r="AI451" s="10" t="s">
        <v>43</v>
      </c>
      <c r="AJ451" s="24">
        <f t="shared" si="591"/>
        <v>0</v>
      </c>
      <c r="AK451" s="24">
        <f t="shared" si="592"/>
        <v>0</v>
      </c>
      <c r="AL451" s="24">
        <f t="shared" si="593"/>
        <v>0</v>
      </c>
      <c r="AN451" s="24">
        <v>21</v>
      </c>
      <c r="AO451" s="24">
        <f>G451*0</f>
        <v>0</v>
      </c>
      <c r="AP451" s="24">
        <f>G451*(1-0)</f>
        <v>0</v>
      </c>
      <c r="AQ451" s="26" t="s">
        <v>46</v>
      </c>
      <c r="AV451" s="24">
        <f t="shared" si="594"/>
        <v>0</v>
      </c>
      <c r="AW451" s="24">
        <f t="shared" si="595"/>
        <v>0</v>
      </c>
      <c r="AX451" s="24">
        <f t="shared" si="596"/>
        <v>0</v>
      </c>
      <c r="AY451" s="26" t="s">
        <v>1219</v>
      </c>
      <c r="AZ451" s="26" t="s">
        <v>427</v>
      </c>
      <c r="BA451" s="10" t="s">
        <v>52</v>
      </c>
      <c r="BC451" s="24">
        <f t="shared" si="597"/>
        <v>0</v>
      </c>
      <c r="BD451" s="24">
        <f t="shared" si="598"/>
        <v>0</v>
      </c>
      <c r="BE451" s="24">
        <v>0</v>
      </c>
      <c r="BF451" s="24">
        <f>448</f>
        <v>448</v>
      </c>
      <c r="BH451" s="24">
        <f t="shared" si="599"/>
        <v>0</v>
      </c>
      <c r="BI451" s="24">
        <f t="shared" si="600"/>
        <v>0</v>
      </c>
      <c r="BJ451" s="24">
        <f t="shared" si="601"/>
        <v>0</v>
      </c>
      <c r="BK451" s="26" t="s">
        <v>53</v>
      </c>
      <c r="BL451" s="24"/>
      <c r="BW451" s="24">
        <v>21</v>
      </c>
      <c r="BX451" s="4" t="s">
        <v>1252</v>
      </c>
    </row>
    <row r="452" spans="1:76" ht="14.4" x14ac:dyDescent="0.3">
      <c r="A452" s="2" t="s">
        <v>1253</v>
      </c>
      <c r="B452" s="3" t="s">
        <v>1254</v>
      </c>
      <c r="C452" s="82" t="s">
        <v>1255</v>
      </c>
      <c r="D452" s="81"/>
      <c r="E452" s="3" t="s">
        <v>174</v>
      </c>
      <c r="F452" s="24">
        <v>15</v>
      </c>
      <c r="G452" s="180">
        <v>0</v>
      </c>
      <c r="H452" s="24">
        <f t="shared" si="580"/>
        <v>0</v>
      </c>
      <c r="I452" s="24">
        <f t="shared" si="581"/>
        <v>0</v>
      </c>
      <c r="J452" s="24">
        <f t="shared" si="582"/>
        <v>0</v>
      </c>
      <c r="K452" s="25"/>
      <c r="Z452" s="24">
        <f t="shared" si="583"/>
        <v>0</v>
      </c>
      <c r="AB452" s="24">
        <f t="shared" si="584"/>
        <v>0</v>
      </c>
      <c r="AC452" s="24">
        <f t="shared" si="585"/>
        <v>0</v>
      </c>
      <c r="AD452" s="24">
        <f t="shared" si="586"/>
        <v>0</v>
      </c>
      <c r="AE452" s="24">
        <f t="shared" si="587"/>
        <v>0</v>
      </c>
      <c r="AF452" s="24">
        <f t="shared" si="588"/>
        <v>0</v>
      </c>
      <c r="AG452" s="24">
        <f t="shared" si="589"/>
        <v>0</v>
      </c>
      <c r="AH452" s="24">
        <f t="shared" si="590"/>
        <v>0</v>
      </c>
      <c r="AI452" s="10" t="s">
        <v>43</v>
      </c>
      <c r="AJ452" s="24">
        <f t="shared" si="591"/>
        <v>0</v>
      </c>
      <c r="AK452" s="24">
        <f t="shared" si="592"/>
        <v>0</v>
      </c>
      <c r="AL452" s="24">
        <f t="shared" si="593"/>
        <v>0</v>
      </c>
      <c r="AN452" s="24">
        <v>21</v>
      </c>
      <c r="AO452" s="24">
        <f>G452*0</f>
        <v>0</v>
      </c>
      <c r="AP452" s="24">
        <f>G452*(1-0)</f>
        <v>0</v>
      </c>
      <c r="AQ452" s="26" t="s">
        <v>46</v>
      </c>
      <c r="AV452" s="24">
        <f t="shared" si="594"/>
        <v>0</v>
      </c>
      <c r="AW452" s="24">
        <f t="shared" si="595"/>
        <v>0</v>
      </c>
      <c r="AX452" s="24">
        <f t="shared" si="596"/>
        <v>0</v>
      </c>
      <c r="AY452" s="26" t="s">
        <v>1219</v>
      </c>
      <c r="AZ452" s="26" t="s">
        <v>427</v>
      </c>
      <c r="BA452" s="10" t="s">
        <v>52</v>
      </c>
      <c r="BC452" s="24">
        <f t="shared" si="597"/>
        <v>0</v>
      </c>
      <c r="BD452" s="24">
        <f t="shared" si="598"/>
        <v>0</v>
      </c>
      <c r="BE452" s="24">
        <v>0</v>
      </c>
      <c r="BF452" s="24">
        <f>449</f>
        <v>449</v>
      </c>
      <c r="BH452" s="24">
        <f t="shared" si="599"/>
        <v>0</v>
      </c>
      <c r="BI452" s="24">
        <f t="shared" si="600"/>
        <v>0</v>
      </c>
      <c r="BJ452" s="24">
        <f t="shared" si="601"/>
        <v>0</v>
      </c>
      <c r="BK452" s="26" t="s">
        <v>53</v>
      </c>
      <c r="BL452" s="24"/>
      <c r="BW452" s="24">
        <v>21</v>
      </c>
      <c r="BX452" s="4" t="s">
        <v>1255</v>
      </c>
    </row>
    <row r="453" spans="1:76" ht="14.4" x14ac:dyDescent="0.3">
      <c r="A453" s="2" t="s">
        <v>1256</v>
      </c>
      <c r="B453" s="3" t="s">
        <v>1257</v>
      </c>
      <c r="C453" s="82" t="s">
        <v>1258</v>
      </c>
      <c r="D453" s="81"/>
      <c r="E453" s="3" t="s">
        <v>91</v>
      </c>
      <c r="F453" s="24">
        <v>64</v>
      </c>
      <c r="G453" s="180">
        <v>0</v>
      </c>
      <c r="H453" s="24">
        <f t="shared" si="580"/>
        <v>0</v>
      </c>
      <c r="I453" s="24">
        <f t="shared" si="581"/>
        <v>0</v>
      </c>
      <c r="J453" s="24">
        <f t="shared" si="582"/>
        <v>0</v>
      </c>
      <c r="K453" s="25"/>
      <c r="Z453" s="24">
        <f t="shared" si="583"/>
        <v>0</v>
      </c>
      <c r="AB453" s="24">
        <f t="shared" si="584"/>
        <v>0</v>
      </c>
      <c r="AC453" s="24">
        <f t="shared" si="585"/>
        <v>0</v>
      </c>
      <c r="AD453" s="24">
        <f t="shared" si="586"/>
        <v>0</v>
      </c>
      <c r="AE453" s="24">
        <f t="shared" si="587"/>
        <v>0</v>
      </c>
      <c r="AF453" s="24">
        <f t="shared" si="588"/>
        <v>0</v>
      </c>
      <c r="AG453" s="24">
        <f t="shared" si="589"/>
        <v>0</v>
      </c>
      <c r="AH453" s="24">
        <f t="shared" si="590"/>
        <v>0</v>
      </c>
      <c r="AI453" s="10" t="s">
        <v>43</v>
      </c>
      <c r="AJ453" s="24">
        <f t="shared" si="591"/>
        <v>0</v>
      </c>
      <c r="AK453" s="24">
        <f t="shared" si="592"/>
        <v>0</v>
      </c>
      <c r="AL453" s="24">
        <f t="shared" si="593"/>
        <v>0</v>
      </c>
      <c r="AN453" s="24">
        <v>21</v>
      </c>
      <c r="AO453" s="24">
        <f>G453*0</f>
        <v>0</v>
      </c>
      <c r="AP453" s="24">
        <f>G453*(1-0)</f>
        <v>0</v>
      </c>
      <c r="AQ453" s="26" t="s">
        <v>46</v>
      </c>
      <c r="AV453" s="24">
        <f t="shared" si="594"/>
        <v>0</v>
      </c>
      <c r="AW453" s="24">
        <f t="shared" si="595"/>
        <v>0</v>
      </c>
      <c r="AX453" s="24">
        <f t="shared" si="596"/>
        <v>0</v>
      </c>
      <c r="AY453" s="26" t="s">
        <v>1219</v>
      </c>
      <c r="AZ453" s="26" t="s">
        <v>427</v>
      </c>
      <c r="BA453" s="10" t="s">
        <v>52</v>
      </c>
      <c r="BC453" s="24">
        <f t="shared" si="597"/>
        <v>0</v>
      </c>
      <c r="BD453" s="24">
        <f t="shared" si="598"/>
        <v>0</v>
      </c>
      <c r="BE453" s="24">
        <v>0</v>
      </c>
      <c r="BF453" s="24">
        <f>450</f>
        <v>450</v>
      </c>
      <c r="BH453" s="24">
        <f t="shared" si="599"/>
        <v>0</v>
      </c>
      <c r="BI453" s="24">
        <f t="shared" si="600"/>
        <v>0</v>
      </c>
      <c r="BJ453" s="24">
        <f t="shared" si="601"/>
        <v>0</v>
      </c>
      <c r="BK453" s="26" t="s">
        <v>53</v>
      </c>
      <c r="BL453" s="24"/>
      <c r="BW453" s="24">
        <v>21</v>
      </c>
      <c r="BX453" s="4" t="s">
        <v>1258</v>
      </c>
    </row>
    <row r="454" spans="1:76" ht="14.4" x14ac:dyDescent="0.3">
      <c r="A454" s="2" t="s">
        <v>1259</v>
      </c>
      <c r="B454" s="3" t="s">
        <v>1260</v>
      </c>
      <c r="C454" s="82" t="s">
        <v>1261</v>
      </c>
      <c r="D454" s="81"/>
      <c r="E454" s="3" t="s">
        <v>91</v>
      </c>
      <c r="F454" s="24">
        <v>24</v>
      </c>
      <c r="G454" s="180">
        <v>0</v>
      </c>
      <c r="H454" s="24">
        <f t="shared" si="580"/>
        <v>0</v>
      </c>
      <c r="I454" s="24">
        <f t="shared" si="581"/>
        <v>0</v>
      </c>
      <c r="J454" s="24">
        <f t="shared" si="582"/>
        <v>0</v>
      </c>
      <c r="K454" s="25"/>
      <c r="Z454" s="24">
        <f t="shared" si="583"/>
        <v>0</v>
      </c>
      <c r="AB454" s="24">
        <f t="shared" si="584"/>
        <v>0</v>
      </c>
      <c r="AC454" s="24">
        <f t="shared" si="585"/>
        <v>0</v>
      </c>
      <c r="AD454" s="24">
        <f t="shared" si="586"/>
        <v>0</v>
      </c>
      <c r="AE454" s="24">
        <f t="shared" si="587"/>
        <v>0</v>
      </c>
      <c r="AF454" s="24">
        <f t="shared" si="588"/>
        <v>0</v>
      </c>
      <c r="AG454" s="24">
        <f t="shared" si="589"/>
        <v>0</v>
      </c>
      <c r="AH454" s="24">
        <f t="shared" si="590"/>
        <v>0</v>
      </c>
      <c r="AI454" s="10" t="s">
        <v>43</v>
      </c>
      <c r="AJ454" s="24">
        <f t="shared" si="591"/>
        <v>0</v>
      </c>
      <c r="AK454" s="24">
        <f t="shared" si="592"/>
        <v>0</v>
      </c>
      <c r="AL454" s="24">
        <f t="shared" si="593"/>
        <v>0</v>
      </c>
      <c r="AN454" s="24">
        <v>21</v>
      </c>
      <c r="AO454" s="24">
        <f>G454*0</f>
        <v>0</v>
      </c>
      <c r="AP454" s="24">
        <f>G454*(1-0)</f>
        <v>0</v>
      </c>
      <c r="AQ454" s="26" t="s">
        <v>46</v>
      </c>
      <c r="AV454" s="24">
        <f t="shared" si="594"/>
        <v>0</v>
      </c>
      <c r="AW454" s="24">
        <f t="shared" si="595"/>
        <v>0</v>
      </c>
      <c r="AX454" s="24">
        <f t="shared" si="596"/>
        <v>0</v>
      </c>
      <c r="AY454" s="26" t="s">
        <v>1219</v>
      </c>
      <c r="AZ454" s="26" t="s">
        <v>427</v>
      </c>
      <c r="BA454" s="10" t="s">
        <v>52</v>
      </c>
      <c r="BC454" s="24">
        <f t="shared" si="597"/>
        <v>0</v>
      </c>
      <c r="BD454" s="24">
        <f t="shared" si="598"/>
        <v>0</v>
      </c>
      <c r="BE454" s="24">
        <v>0</v>
      </c>
      <c r="BF454" s="24">
        <f>451</f>
        <v>451</v>
      </c>
      <c r="BH454" s="24">
        <f t="shared" si="599"/>
        <v>0</v>
      </c>
      <c r="BI454" s="24">
        <f t="shared" si="600"/>
        <v>0</v>
      </c>
      <c r="BJ454" s="24">
        <f t="shared" si="601"/>
        <v>0</v>
      </c>
      <c r="BK454" s="26" t="s">
        <v>53</v>
      </c>
      <c r="BL454" s="24"/>
      <c r="BW454" s="24">
        <v>21</v>
      </c>
      <c r="BX454" s="4" t="s">
        <v>1261</v>
      </c>
    </row>
    <row r="455" spans="1:76" ht="14.4" x14ac:dyDescent="0.3">
      <c r="A455" s="2" t="s">
        <v>1262</v>
      </c>
      <c r="B455" s="3" t="s">
        <v>1263</v>
      </c>
      <c r="C455" s="82" t="s">
        <v>1264</v>
      </c>
      <c r="D455" s="81"/>
      <c r="E455" s="3" t="s">
        <v>49</v>
      </c>
      <c r="F455" s="24">
        <v>0.2</v>
      </c>
      <c r="G455" s="180">
        <v>0</v>
      </c>
      <c r="H455" s="24">
        <f t="shared" si="580"/>
        <v>0</v>
      </c>
      <c r="I455" s="24">
        <f t="shared" si="581"/>
        <v>0</v>
      </c>
      <c r="J455" s="24">
        <f t="shared" si="582"/>
        <v>0</v>
      </c>
      <c r="K455" s="25"/>
      <c r="Z455" s="24">
        <f t="shared" si="583"/>
        <v>0</v>
      </c>
      <c r="AB455" s="24">
        <f t="shared" si="584"/>
        <v>0</v>
      </c>
      <c r="AC455" s="24">
        <f t="shared" si="585"/>
        <v>0</v>
      </c>
      <c r="AD455" s="24">
        <f t="shared" si="586"/>
        <v>0</v>
      </c>
      <c r="AE455" s="24">
        <f t="shared" si="587"/>
        <v>0</v>
      </c>
      <c r="AF455" s="24">
        <f t="shared" si="588"/>
        <v>0</v>
      </c>
      <c r="AG455" s="24">
        <f t="shared" si="589"/>
        <v>0</v>
      </c>
      <c r="AH455" s="24">
        <f t="shared" si="590"/>
        <v>0</v>
      </c>
      <c r="AI455" s="10" t="s">
        <v>43</v>
      </c>
      <c r="AJ455" s="24">
        <f t="shared" si="591"/>
        <v>0</v>
      </c>
      <c r="AK455" s="24">
        <f t="shared" si="592"/>
        <v>0</v>
      </c>
      <c r="AL455" s="24">
        <f t="shared" si="593"/>
        <v>0</v>
      </c>
      <c r="AN455" s="24">
        <v>21</v>
      </c>
      <c r="AO455" s="24">
        <f>G455*0.475524476</f>
        <v>0</v>
      </c>
      <c r="AP455" s="24">
        <f>G455*(1-0.475524476)</f>
        <v>0</v>
      </c>
      <c r="AQ455" s="26" t="s">
        <v>46</v>
      </c>
      <c r="AV455" s="24">
        <f t="shared" si="594"/>
        <v>0</v>
      </c>
      <c r="AW455" s="24">
        <f t="shared" si="595"/>
        <v>0</v>
      </c>
      <c r="AX455" s="24">
        <f t="shared" si="596"/>
        <v>0</v>
      </c>
      <c r="AY455" s="26" t="s">
        <v>1219</v>
      </c>
      <c r="AZ455" s="26" t="s">
        <v>427</v>
      </c>
      <c r="BA455" s="10" t="s">
        <v>52</v>
      </c>
      <c r="BC455" s="24">
        <f t="shared" si="597"/>
        <v>0</v>
      </c>
      <c r="BD455" s="24">
        <f t="shared" si="598"/>
        <v>0</v>
      </c>
      <c r="BE455" s="24">
        <v>0</v>
      </c>
      <c r="BF455" s="24">
        <f>452</f>
        <v>452</v>
      </c>
      <c r="BH455" s="24">
        <f t="shared" si="599"/>
        <v>0</v>
      </c>
      <c r="BI455" s="24">
        <f t="shared" si="600"/>
        <v>0</v>
      </c>
      <c r="BJ455" s="24">
        <f t="shared" si="601"/>
        <v>0</v>
      </c>
      <c r="BK455" s="26" t="s">
        <v>53</v>
      </c>
      <c r="BL455" s="24"/>
      <c r="BW455" s="24">
        <v>21</v>
      </c>
      <c r="BX455" s="4" t="s">
        <v>1264</v>
      </c>
    </row>
    <row r="456" spans="1:76" ht="14.4" x14ac:dyDescent="0.3">
      <c r="A456" s="2" t="s">
        <v>1265</v>
      </c>
      <c r="B456" s="3" t="s">
        <v>1266</v>
      </c>
      <c r="C456" s="82" t="s">
        <v>1267</v>
      </c>
      <c r="D456" s="81"/>
      <c r="E456" s="3" t="s">
        <v>321</v>
      </c>
      <c r="F456" s="24">
        <v>15</v>
      </c>
      <c r="G456" s="180">
        <v>0</v>
      </c>
      <c r="H456" s="24">
        <f t="shared" si="580"/>
        <v>0</v>
      </c>
      <c r="I456" s="24">
        <f t="shared" si="581"/>
        <v>0</v>
      </c>
      <c r="J456" s="24">
        <f t="shared" si="582"/>
        <v>0</v>
      </c>
      <c r="K456" s="25"/>
      <c r="Z456" s="24">
        <f t="shared" si="583"/>
        <v>0</v>
      </c>
      <c r="AB456" s="24">
        <f t="shared" si="584"/>
        <v>0</v>
      </c>
      <c r="AC456" s="24">
        <f t="shared" si="585"/>
        <v>0</v>
      </c>
      <c r="AD456" s="24">
        <f t="shared" si="586"/>
        <v>0</v>
      </c>
      <c r="AE456" s="24">
        <f t="shared" si="587"/>
        <v>0</v>
      </c>
      <c r="AF456" s="24">
        <f t="shared" si="588"/>
        <v>0</v>
      </c>
      <c r="AG456" s="24">
        <f t="shared" si="589"/>
        <v>0</v>
      </c>
      <c r="AH456" s="24">
        <f t="shared" si="590"/>
        <v>0</v>
      </c>
      <c r="AI456" s="10" t="s">
        <v>43</v>
      </c>
      <c r="AJ456" s="24">
        <f t="shared" si="591"/>
        <v>0</v>
      </c>
      <c r="AK456" s="24">
        <f t="shared" si="592"/>
        <v>0</v>
      </c>
      <c r="AL456" s="24">
        <f t="shared" si="593"/>
        <v>0</v>
      </c>
      <c r="AN456" s="24">
        <v>21</v>
      </c>
      <c r="AO456" s="24">
        <f>G456*0.107142857</f>
        <v>0</v>
      </c>
      <c r="AP456" s="24">
        <f>G456*(1-0.107142857)</f>
        <v>0</v>
      </c>
      <c r="AQ456" s="26" t="s">
        <v>46</v>
      </c>
      <c r="AV456" s="24">
        <f t="shared" si="594"/>
        <v>0</v>
      </c>
      <c r="AW456" s="24">
        <f t="shared" si="595"/>
        <v>0</v>
      </c>
      <c r="AX456" s="24">
        <f t="shared" si="596"/>
        <v>0</v>
      </c>
      <c r="AY456" s="26" t="s">
        <v>1219</v>
      </c>
      <c r="AZ456" s="26" t="s">
        <v>427</v>
      </c>
      <c r="BA456" s="10" t="s">
        <v>52</v>
      </c>
      <c r="BC456" s="24">
        <f t="shared" si="597"/>
        <v>0</v>
      </c>
      <c r="BD456" s="24">
        <f t="shared" si="598"/>
        <v>0</v>
      </c>
      <c r="BE456" s="24">
        <v>0</v>
      </c>
      <c r="BF456" s="24">
        <f>453</f>
        <v>453</v>
      </c>
      <c r="BH456" s="24">
        <f t="shared" si="599"/>
        <v>0</v>
      </c>
      <c r="BI456" s="24">
        <f t="shared" si="600"/>
        <v>0</v>
      </c>
      <c r="BJ456" s="24">
        <f t="shared" si="601"/>
        <v>0</v>
      </c>
      <c r="BK456" s="26" t="s">
        <v>53</v>
      </c>
      <c r="BL456" s="24"/>
      <c r="BW456" s="24">
        <v>21</v>
      </c>
      <c r="BX456" s="4" t="s">
        <v>1267</v>
      </c>
    </row>
    <row r="457" spans="1:76" ht="14.4" x14ac:dyDescent="0.3">
      <c r="A457" s="2" t="s">
        <v>1268</v>
      </c>
      <c r="B457" s="3" t="s">
        <v>1269</v>
      </c>
      <c r="C457" s="82" t="s">
        <v>1270</v>
      </c>
      <c r="D457" s="81"/>
      <c r="E457" s="3" t="s">
        <v>174</v>
      </c>
      <c r="F457" s="24">
        <v>2</v>
      </c>
      <c r="G457" s="180">
        <v>0</v>
      </c>
      <c r="H457" s="24">
        <f t="shared" si="580"/>
        <v>0</v>
      </c>
      <c r="I457" s="24">
        <f t="shared" si="581"/>
        <v>0</v>
      </c>
      <c r="J457" s="24">
        <f t="shared" si="582"/>
        <v>0</v>
      </c>
      <c r="K457" s="25"/>
      <c r="Z457" s="24">
        <f t="shared" si="583"/>
        <v>0</v>
      </c>
      <c r="AB457" s="24">
        <f t="shared" si="584"/>
        <v>0</v>
      </c>
      <c r="AC457" s="24">
        <f t="shared" si="585"/>
        <v>0</v>
      </c>
      <c r="AD457" s="24">
        <f t="shared" si="586"/>
        <v>0</v>
      </c>
      <c r="AE457" s="24">
        <f t="shared" si="587"/>
        <v>0</v>
      </c>
      <c r="AF457" s="24">
        <f t="shared" si="588"/>
        <v>0</v>
      </c>
      <c r="AG457" s="24">
        <f t="shared" si="589"/>
        <v>0</v>
      </c>
      <c r="AH457" s="24">
        <f t="shared" si="590"/>
        <v>0</v>
      </c>
      <c r="AI457" s="10" t="s">
        <v>43</v>
      </c>
      <c r="AJ457" s="24">
        <f t="shared" si="591"/>
        <v>0</v>
      </c>
      <c r="AK457" s="24">
        <f t="shared" si="592"/>
        <v>0</v>
      </c>
      <c r="AL457" s="24">
        <f t="shared" si="593"/>
        <v>0</v>
      </c>
      <c r="AN457" s="24">
        <v>21</v>
      </c>
      <c r="AO457" s="24">
        <f t="shared" ref="AO457:AO469" si="602">G457*0</f>
        <v>0</v>
      </c>
      <c r="AP457" s="24">
        <f t="shared" ref="AP457:AP469" si="603">G457*(1-0)</f>
        <v>0</v>
      </c>
      <c r="AQ457" s="26" t="s">
        <v>46</v>
      </c>
      <c r="AV457" s="24">
        <f t="shared" si="594"/>
        <v>0</v>
      </c>
      <c r="AW457" s="24">
        <f t="shared" si="595"/>
        <v>0</v>
      </c>
      <c r="AX457" s="24">
        <f t="shared" si="596"/>
        <v>0</v>
      </c>
      <c r="AY457" s="26" t="s">
        <v>1219</v>
      </c>
      <c r="AZ457" s="26" t="s">
        <v>427</v>
      </c>
      <c r="BA457" s="10" t="s">
        <v>52</v>
      </c>
      <c r="BC457" s="24">
        <f t="shared" si="597"/>
        <v>0</v>
      </c>
      <c r="BD457" s="24">
        <f t="shared" si="598"/>
        <v>0</v>
      </c>
      <c r="BE457" s="24">
        <v>0</v>
      </c>
      <c r="BF457" s="24">
        <f>454</f>
        <v>454</v>
      </c>
      <c r="BH457" s="24">
        <f t="shared" si="599"/>
        <v>0</v>
      </c>
      <c r="BI457" s="24">
        <f t="shared" si="600"/>
        <v>0</v>
      </c>
      <c r="BJ457" s="24">
        <f t="shared" si="601"/>
        <v>0</v>
      </c>
      <c r="BK457" s="26" t="s">
        <v>53</v>
      </c>
      <c r="BL457" s="24"/>
      <c r="BW457" s="24">
        <v>21</v>
      </c>
      <c r="BX457" s="4" t="s">
        <v>1270</v>
      </c>
    </row>
    <row r="458" spans="1:76" ht="14.4" x14ac:dyDescent="0.3">
      <c r="A458" s="2" t="s">
        <v>1271</v>
      </c>
      <c r="B458" s="3" t="s">
        <v>1272</v>
      </c>
      <c r="C458" s="82" t="s">
        <v>1273</v>
      </c>
      <c r="D458" s="81"/>
      <c r="E458" s="3" t="s">
        <v>174</v>
      </c>
      <c r="F458" s="24">
        <v>2</v>
      </c>
      <c r="G458" s="180">
        <v>0</v>
      </c>
      <c r="H458" s="24">
        <f t="shared" si="580"/>
        <v>0</v>
      </c>
      <c r="I458" s="24">
        <f t="shared" si="581"/>
        <v>0</v>
      </c>
      <c r="J458" s="24">
        <f t="shared" si="582"/>
        <v>0</v>
      </c>
      <c r="K458" s="25"/>
      <c r="Z458" s="24">
        <f t="shared" si="583"/>
        <v>0</v>
      </c>
      <c r="AB458" s="24">
        <f t="shared" si="584"/>
        <v>0</v>
      </c>
      <c r="AC458" s="24">
        <f t="shared" si="585"/>
        <v>0</v>
      </c>
      <c r="AD458" s="24">
        <f t="shared" si="586"/>
        <v>0</v>
      </c>
      <c r="AE458" s="24">
        <f t="shared" si="587"/>
        <v>0</v>
      </c>
      <c r="AF458" s="24">
        <f t="shared" si="588"/>
        <v>0</v>
      </c>
      <c r="AG458" s="24">
        <f t="shared" si="589"/>
        <v>0</v>
      </c>
      <c r="AH458" s="24">
        <f t="shared" si="590"/>
        <v>0</v>
      </c>
      <c r="AI458" s="10" t="s">
        <v>43</v>
      </c>
      <c r="AJ458" s="24">
        <f t="shared" si="591"/>
        <v>0</v>
      </c>
      <c r="AK458" s="24">
        <f t="shared" si="592"/>
        <v>0</v>
      </c>
      <c r="AL458" s="24">
        <f t="shared" si="593"/>
        <v>0</v>
      </c>
      <c r="AN458" s="24">
        <v>21</v>
      </c>
      <c r="AO458" s="24">
        <f t="shared" si="602"/>
        <v>0</v>
      </c>
      <c r="AP458" s="24">
        <f t="shared" si="603"/>
        <v>0</v>
      </c>
      <c r="AQ458" s="26" t="s">
        <v>46</v>
      </c>
      <c r="AV458" s="24">
        <f t="shared" si="594"/>
        <v>0</v>
      </c>
      <c r="AW458" s="24">
        <f t="shared" si="595"/>
        <v>0</v>
      </c>
      <c r="AX458" s="24">
        <f t="shared" si="596"/>
        <v>0</v>
      </c>
      <c r="AY458" s="26" t="s">
        <v>1219</v>
      </c>
      <c r="AZ458" s="26" t="s">
        <v>427</v>
      </c>
      <c r="BA458" s="10" t="s">
        <v>52</v>
      </c>
      <c r="BC458" s="24">
        <f t="shared" si="597"/>
        <v>0</v>
      </c>
      <c r="BD458" s="24">
        <f t="shared" si="598"/>
        <v>0</v>
      </c>
      <c r="BE458" s="24">
        <v>0</v>
      </c>
      <c r="BF458" s="24">
        <f>455</f>
        <v>455</v>
      </c>
      <c r="BH458" s="24">
        <f t="shared" si="599"/>
        <v>0</v>
      </c>
      <c r="BI458" s="24">
        <f t="shared" si="600"/>
        <v>0</v>
      </c>
      <c r="BJ458" s="24">
        <f t="shared" si="601"/>
        <v>0</v>
      </c>
      <c r="BK458" s="26" t="s">
        <v>53</v>
      </c>
      <c r="BL458" s="24"/>
      <c r="BW458" s="24">
        <v>21</v>
      </c>
      <c r="BX458" s="4" t="s">
        <v>1273</v>
      </c>
    </row>
    <row r="459" spans="1:76" ht="14.4" x14ac:dyDescent="0.3">
      <c r="A459" s="2" t="s">
        <v>1274</v>
      </c>
      <c r="B459" s="3" t="s">
        <v>1275</v>
      </c>
      <c r="C459" s="82" t="s">
        <v>1276</v>
      </c>
      <c r="D459" s="81"/>
      <c r="E459" s="3" t="s">
        <v>174</v>
      </c>
      <c r="F459" s="24">
        <v>2</v>
      </c>
      <c r="G459" s="180">
        <v>0</v>
      </c>
      <c r="H459" s="24">
        <f t="shared" si="580"/>
        <v>0</v>
      </c>
      <c r="I459" s="24">
        <f t="shared" si="581"/>
        <v>0</v>
      </c>
      <c r="J459" s="24">
        <f t="shared" si="582"/>
        <v>0</v>
      </c>
      <c r="K459" s="25"/>
      <c r="Z459" s="24">
        <f t="shared" si="583"/>
        <v>0</v>
      </c>
      <c r="AB459" s="24">
        <f t="shared" si="584"/>
        <v>0</v>
      </c>
      <c r="AC459" s="24">
        <f t="shared" si="585"/>
        <v>0</v>
      </c>
      <c r="AD459" s="24">
        <f t="shared" si="586"/>
        <v>0</v>
      </c>
      <c r="AE459" s="24">
        <f t="shared" si="587"/>
        <v>0</v>
      </c>
      <c r="AF459" s="24">
        <f t="shared" si="588"/>
        <v>0</v>
      </c>
      <c r="AG459" s="24">
        <f t="shared" si="589"/>
        <v>0</v>
      </c>
      <c r="AH459" s="24">
        <f t="shared" si="590"/>
        <v>0</v>
      </c>
      <c r="AI459" s="10" t="s">
        <v>43</v>
      </c>
      <c r="AJ459" s="24">
        <f t="shared" si="591"/>
        <v>0</v>
      </c>
      <c r="AK459" s="24">
        <f t="shared" si="592"/>
        <v>0</v>
      </c>
      <c r="AL459" s="24">
        <f t="shared" si="593"/>
        <v>0</v>
      </c>
      <c r="AN459" s="24">
        <v>21</v>
      </c>
      <c r="AO459" s="24">
        <f t="shared" si="602"/>
        <v>0</v>
      </c>
      <c r="AP459" s="24">
        <f t="shared" si="603"/>
        <v>0</v>
      </c>
      <c r="AQ459" s="26" t="s">
        <v>46</v>
      </c>
      <c r="AV459" s="24">
        <f t="shared" si="594"/>
        <v>0</v>
      </c>
      <c r="AW459" s="24">
        <f t="shared" si="595"/>
        <v>0</v>
      </c>
      <c r="AX459" s="24">
        <f t="shared" si="596"/>
        <v>0</v>
      </c>
      <c r="AY459" s="26" t="s">
        <v>1219</v>
      </c>
      <c r="AZ459" s="26" t="s">
        <v>427</v>
      </c>
      <c r="BA459" s="10" t="s">
        <v>52</v>
      </c>
      <c r="BC459" s="24">
        <f t="shared" si="597"/>
        <v>0</v>
      </c>
      <c r="BD459" s="24">
        <f t="shared" si="598"/>
        <v>0</v>
      </c>
      <c r="BE459" s="24">
        <v>0</v>
      </c>
      <c r="BF459" s="24">
        <f>456</f>
        <v>456</v>
      </c>
      <c r="BH459" s="24">
        <f t="shared" si="599"/>
        <v>0</v>
      </c>
      <c r="BI459" s="24">
        <f t="shared" si="600"/>
        <v>0</v>
      </c>
      <c r="BJ459" s="24">
        <f t="shared" si="601"/>
        <v>0</v>
      </c>
      <c r="BK459" s="26" t="s">
        <v>53</v>
      </c>
      <c r="BL459" s="24"/>
      <c r="BW459" s="24">
        <v>21</v>
      </c>
      <c r="BX459" s="4" t="s">
        <v>1276</v>
      </c>
    </row>
    <row r="460" spans="1:76" ht="14.4" x14ac:dyDescent="0.3">
      <c r="A460" s="2" t="s">
        <v>1277</v>
      </c>
      <c r="B460" s="3" t="s">
        <v>1278</v>
      </c>
      <c r="C460" s="82" t="s">
        <v>1279</v>
      </c>
      <c r="D460" s="81"/>
      <c r="E460" s="3" t="s">
        <v>174</v>
      </c>
      <c r="F460" s="24">
        <v>2</v>
      </c>
      <c r="G460" s="180">
        <v>0</v>
      </c>
      <c r="H460" s="24">
        <f t="shared" si="580"/>
        <v>0</v>
      </c>
      <c r="I460" s="24">
        <f t="shared" si="581"/>
        <v>0</v>
      </c>
      <c r="J460" s="24">
        <f t="shared" si="582"/>
        <v>0</v>
      </c>
      <c r="K460" s="25"/>
      <c r="Z460" s="24">
        <f t="shared" si="583"/>
        <v>0</v>
      </c>
      <c r="AB460" s="24">
        <f t="shared" si="584"/>
        <v>0</v>
      </c>
      <c r="AC460" s="24">
        <f t="shared" si="585"/>
        <v>0</v>
      </c>
      <c r="AD460" s="24">
        <f t="shared" si="586"/>
        <v>0</v>
      </c>
      <c r="AE460" s="24">
        <f t="shared" si="587"/>
        <v>0</v>
      </c>
      <c r="AF460" s="24">
        <f t="shared" si="588"/>
        <v>0</v>
      </c>
      <c r="AG460" s="24">
        <f t="shared" si="589"/>
        <v>0</v>
      </c>
      <c r="AH460" s="24">
        <f t="shared" si="590"/>
        <v>0</v>
      </c>
      <c r="AI460" s="10" t="s">
        <v>43</v>
      </c>
      <c r="AJ460" s="24">
        <f t="shared" si="591"/>
        <v>0</v>
      </c>
      <c r="AK460" s="24">
        <f t="shared" si="592"/>
        <v>0</v>
      </c>
      <c r="AL460" s="24">
        <f t="shared" si="593"/>
        <v>0</v>
      </c>
      <c r="AN460" s="24">
        <v>21</v>
      </c>
      <c r="AO460" s="24">
        <f t="shared" si="602"/>
        <v>0</v>
      </c>
      <c r="AP460" s="24">
        <f t="shared" si="603"/>
        <v>0</v>
      </c>
      <c r="AQ460" s="26" t="s">
        <v>46</v>
      </c>
      <c r="AV460" s="24">
        <f t="shared" si="594"/>
        <v>0</v>
      </c>
      <c r="AW460" s="24">
        <f t="shared" si="595"/>
        <v>0</v>
      </c>
      <c r="AX460" s="24">
        <f t="shared" si="596"/>
        <v>0</v>
      </c>
      <c r="AY460" s="26" t="s">
        <v>1219</v>
      </c>
      <c r="AZ460" s="26" t="s">
        <v>427</v>
      </c>
      <c r="BA460" s="10" t="s">
        <v>52</v>
      </c>
      <c r="BC460" s="24">
        <f t="shared" si="597"/>
        <v>0</v>
      </c>
      <c r="BD460" s="24">
        <f t="shared" si="598"/>
        <v>0</v>
      </c>
      <c r="BE460" s="24">
        <v>0</v>
      </c>
      <c r="BF460" s="24">
        <f>457</f>
        <v>457</v>
      </c>
      <c r="BH460" s="24">
        <f t="shared" si="599"/>
        <v>0</v>
      </c>
      <c r="BI460" s="24">
        <f t="shared" si="600"/>
        <v>0</v>
      </c>
      <c r="BJ460" s="24">
        <f t="shared" si="601"/>
        <v>0</v>
      </c>
      <c r="BK460" s="26" t="s">
        <v>53</v>
      </c>
      <c r="BL460" s="24"/>
      <c r="BW460" s="24">
        <v>21</v>
      </c>
      <c r="BX460" s="4" t="s">
        <v>1279</v>
      </c>
    </row>
    <row r="461" spans="1:76" ht="14.4" x14ac:dyDescent="0.3">
      <c r="A461" s="2" t="s">
        <v>1280</v>
      </c>
      <c r="B461" s="3" t="s">
        <v>1281</v>
      </c>
      <c r="C461" s="82" t="s">
        <v>1282</v>
      </c>
      <c r="D461" s="81"/>
      <c r="E461" s="3" t="s">
        <v>1039</v>
      </c>
      <c r="F461" s="24">
        <v>4</v>
      </c>
      <c r="G461" s="180"/>
      <c r="H461" s="24">
        <f t="shared" si="580"/>
        <v>0</v>
      </c>
      <c r="I461" s="24">
        <f t="shared" si="581"/>
        <v>0</v>
      </c>
      <c r="J461" s="24">
        <f t="shared" si="582"/>
        <v>0</v>
      </c>
      <c r="K461" s="25"/>
      <c r="Z461" s="24">
        <f t="shared" si="583"/>
        <v>0</v>
      </c>
      <c r="AB461" s="24">
        <f t="shared" si="584"/>
        <v>0</v>
      </c>
      <c r="AC461" s="24">
        <f t="shared" si="585"/>
        <v>0</v>
      </c>
      <c r="AD461" s="24">
        <f t="shared" si="586"/>
        <v>0</v>
      </c>
      <c r="AE461" s="24">
        <f t="shared" si="587"/>
        <v>0</v>
      </c>
      <c r="AF461" s="24">
        <f t="shared" si="588"/>
        <v>0</v>
      </c>
      <c r="AG461" s="24">
        <f t="shared" si="589"/>
        <v>0</v>
      </c>
      <c r="AH461" s="24">
        <f t="shared" si="590"/>
        <v>0</v>
      </c>
      <c r="AI461" s="10" t="s">
        <v>43</v>
      </c>
      <c r="AJ461" s="24">
        <f t="shared" si="591"/>
        <v>0</v>
      </c>
      <c r="AK461" s="24">
        <f t="shared" si="592"/>
        <v>0</v>
      </c>
      <c r="AL461" s="24">
        <f t="shared" si="593"/>
        <v>0</v>
      </c>
      <c r="AN461" s="24">
        <v>21</v>
      </c>
      <c r="AO461" s="24">
        <f t="shared" si="602"/>
        <v>0</v>
      </c>
      <c r="AP461" s="24">
        <f t="shared" si="603"/>
        <v>0</v>
      </c>
      <c r="AQ461" s="26" t="s">
        <v>46</v>
      </c>
      <c r="AV461" s="24">
        <f t="shared" si="594"/>
        <v>0</v>
      </c>
      <c r="AW461" s="24">
        <f t="shared" si="595"/>
        <v>0</v>
      </c>
      <c r="AX461" s="24">
        <f t="shared" si="596"/>
        <v>0</v>
      </c>
      <c r="AY461" s="26" t="s">
        <v>1219</v>
      </c>
      <c r="AZ461" s="26" t="s">
        <v>427</v>
      </c>
      <c r="BA461" s="10" t="s">
        <v>52</v>
      </c>
      <c r="BC461" s="24">
        <f t="shared" si="597"/>
        <v>0</v>
      </c>
      <c r="BD461" s="24">
        <f t="shared" si="598"/>
        <v>0</v>
      </c>
      <c r="BE461" s="24">
        <v>0</v>
      </c>
      <c r="BF461" s="24">
        <f>458</f>
        <v>458</v>
      </c>
      <c r="BH461" s="24">
        <f t="shared" si="599"/>
        <v>0</v>
      </c>
      <c r="BI461" s="24">
        <f t="shared" si="600"/>
        <v>0</v>
      </c>
      <c r="BJ461" s="24">
        <f t="shared" si="601"/>
        <v>0</v>
      </c>
      <c r="BK461" s="26" t="s">
        <v>53</v>
      </c>
      <c r="BL461" s="24"/>
      <c r="BW461" s="24">
        <v>21</v>
      </c>
      <c r="BX461" s="4" t="s">
        <v>1282</v>
      </c>
    </row>
    <row r="462" spans="1:76" ht="14.4" x14ac:dyDescent="0.3">
      <c r="A462" s="2" t="s">
        <v>1283</v>
      </c>
      <c r="B462" s="3" t="s">
        <v>1284</v>
      </c>
      <c r="C462" s="82" t="s">
        <v>1285</v>
      </c>
      <c r="D462" s="81"/>
      <c r="E462" s="3" t="s">
        <v>1039</v>
      </c>
      <c r="F462" s="24">
        <v>8</v>
      </c>
      <c r="G462" s="180">
        <v>0</v>
      </c>
      <c r="H462" s="24">
        <f t="shared" si="580"/>
        <v>0</v>
      </c>
      <c r="I462" s="24">
        <f t="shared" si="581"/>
        <v>0</v>
      </c>
      <c r="J462" s="24">
        <f t="shared" si="582"/>
        <v>0</v>
      </c>
      <c r="K462" s="25"/>
      <c r="Z462" s="24">
        <f t="shared" si="583"/>
        <v>0</v>
      </c>
      <c r="AB462" s="24">
        <f t="shared" si="584"/>
        <v>0</v>
      </c>
      <c r="AC462" s="24">
        <f t="shared" si="585"/>
        <v>0</v>
      </c>
      <c r="AD462" s="24">
        <f t="shared" si="586"/>
        <v>0</v>
      </c>
      <c r="AE462" s="24">
        <f t="shared" si="587"/>
        <v>0</v>
      </c>
      <c r="AF462" s="24">
        <f t="shared" si="588"/>
        <v>0</v>
      </c>
      <c r="AG462" s="24">
        <f t="shared" si="589"/>
        <v>0</v>
      </c>
      <c r="AH462" s="24">
        <f t="shared" si="590"/>
        <v>0</v>
      </c>
      <c r="AI462" s="10" t="s">
        <v>43</v>
      </c>
      <c r="AJ462" s="24">
        <f t="shared" si="591"/>
        <v>0</v>
      </c>
      <c r="AK462" s="24">
        <f t="shared" si="592"/>
        <v>0</v>
      </c>
      <c r="AL462" s="24">
        <f t="shared" si="593"/>
        <v>0</v>
      </c>
      <c r="AN462" s="24">
        <v>21</v>
      </c>
      <c r="AO462" s="24">
        <f t="shared" si="602"/>
        <v>0</v>
      </c>
      <c r="AP462" s="24">
        <f t="shared" si="603"/>
        <v>0</v>
      </c>
      <c r="AQ462" s="26" t="s">
        <v>46</v>
      </c>
      <c r="AV462" s="24">
        <f t="shared" si="594"/>
        <v>0</v>
      </c>
      <c r="AW462" s="24">
        <f t="shared" si="595"/>
        <v>0</v>
      </c>
      <c r="AX462" s="24">
        <f t="shared" si="596"/>
        <v>0</v>
      </c>
      <c r="AY462" s="26" t="s">
        <v>1219</v>
      </c>
      <c r="AZ462" s="26" t="s">
        <v>427</v>
      </c>
      <c r="BA462" s="10" t="s">
        <v>52</v>
      </c>
      <c r="BC462" s="24">
        <f t="shared" si="597"/>
        <v>0</v>
      </c>
      <c r="BD462" s="24">
        <f t="shared" si="598"/>
        <v>0</v>
      </c>
      <c r="BE462" s="24">
        <v>0</v>
      </c>
      <c r="BF462" s="24">
        <f>459</f>
        <v>459</v>
      </c>
      <c r="BH462" s="24">
        <f t="shared" si="599"/>
        <v>0</v>
      </c>
      <c r="BI462" s="24">
        <f t="shared" si="600"/>
        <v>0</v>
      </c>
      <c r="BJ462" s="24">
        <f t="shared" si="601"/>
        <v>0</v>
      </c>
      <c r="BK462" s="26" t="s">
        <v>53</v>
      </c>
      <c r="BL462" s="24"/>
      <c r="BW462" s="24">
        <v>21</v>
      </c>
      <c r="BX462" s="4" t="s">
        <v>1285</v>
      </c>
    </row>
    <row r="463" spans="1:76" ht="14.4" x14ac:dyDescent="0.3">
      <c r="A463" s="2" t="s">
        <v>1286</v>
      </c>
      <c r="B463" s="3" t="s">
        <v>1287</v>
      </c>
      <c r="C463" s="82" t="s">
        <v>1288</v>
      </c>
      <c r="D463" s="81"/>
      <c r="E463" s="3" t="s">
        <v>261</v>
      </c>
      <c r="F463" s="24">
        <v>0.3</v>
      </c>
      <c r="G463" s="180">
        <v>0</v>
      </c>
      <c r="H463" s="24">
        <f t="shared" si="580"/>
        <v>0</v>
      </c>
      <c r="I463" s="24">
        <f t="shared" si="581"/>
        <v>0</v>
      </c>
      <c r="J463" s="24">
        <f t="shared" si="582"/>
        <v>0</v>
      </c>
      <c r="K463" s="25"/>
      <c r="Z463" s="24">
        <f t="shared" si="583"/>
        <v>0</v>
      </c>
      <c r="AB463" s="24">
        <f t="shared" si="584"/>
        <v>0</v>
      </c>
      <c r="AC463" s="24">
        <f t="shared" si="585"/>
        <v>0</v>
      </c>
      <c r="AD463" s="24">
        <f t="shared" si="586"/>
        <v>0</v>
      </c>
      <c r="AE463" s="24">
        <f t="shared" si="587"/>
        <v>0</v>
      </c>
      <c r="AF463" s="24">
        <f t="shared" si="588"/>
        <v>0</v>
      </c>
      <c r="AG463" s="24">
        <f t="shared" si="589"/>
        <v>0</v>
      </c>
      <c r="AH463" s="24">
        <f t="shared" si="590"/>
        <v>0</v>
      </c>
      <c r="AI463" s="10" t="s">
        <v>43</v>
      </c>
      <c r="AJ463" s="24">
        <f t="shared" si="591"/>
        <v>0</v>
      </c>
      <c r="AK463" s="24">
        <f t="shared" si="592"/>
        <v>0</v>
      </c>
      <c r="AL463" s="24">
        <f t="shared" si="593"/>
        <v>0</v>
      </c>
      <c r="AN463" s="24">
        <v>21</v>
      </c>
      <c r="AO463" s="24">
        <f t="shared" si="602"/>
        <v>0</v>
      </c>
      <c r="AP463" s="24">
        <f t="shared" si="603"/>
        <v>0</v>
      </c>
      <c r="AQ463" s="26" t="s">
        <v>46</v>
      </c>
      <c r="AV463" s="24">
        <f t="shared" si="594"/>
        <v>0</v>
      </c>
      <c r="AW463" s="24">
        <f t="shared" si="595"/>
        <v>0</v>
      </c>
      <c r="AX463" s="24">
        <f t="shared" si="596"/>
        <v>0</v>
      </c>
      <c r="AY463" s="26" t="s">
        <v>1219</v>
      </c>
      <c r="AZ463" s="26" t="s">
        <v>427</v>
      </c>
      <c r="BA463" s="10" t="s">
        <v>52</v>
      </c>
      <c r="BC463" s="24">
        <f t="shared" si="597"/>
        <v>0</v>
      </c>
      <c r="BD463" s="24">
        <f t="shared" si="598"/>
        <v>0</v>
      </c>
      <c r="BE463" s="24">
        <v>0</v>
      </c>
      <c r="BF463" s="24">
        <f>460</f>
        <v>460</v>
      </c>
      <c r="BH463" s="24">
        <f t="shared" si="599"/>
        <v>0</v>
      </c>
      <c r="BI463" s="24">
        <f t="shared" si="600"/>
        <v>0</v>
      </c>
      <c r="BJ463" s="24">
        <f t="shared" si="601"/>
        <v>0</v>
      </c>
      <c r="BK463" s="26" t="s">
        <v>53</v>
      </c>
      <c r="BL463" s="24"/>
      <c r="BW463" s="24">
        <v>21</v>
      </c>
      <c r="BX463" s="4" t="s">
        <v>1288</v>
      </c>
    </row>
    <row r="464" spans="1:76" ht="14.4" x14ac:dyDescent="0.3">
      <c r="A464" s="2" t="s">
        <v>1289</v>
      </c>
      <c r="B464" s="3" t="s">
        <v>1290</v>
      </c>
      <c r="C464" s="82" t="s">
        <v>1291</v>
      </c>
      <c r="D464" s="81"/>
      <c r="E464" s="3" t="s">
        <v>261</v>
      </c>
      <c r="F464" s="24">
        <v>0.3</v>
      </c>
      <c r="G464" s="180">
        <v>0</v>
      </c>
      <c r="H464" s="24">
        <f t="shared" si="580"/>
        <v>0</v>
      </c>
      <c r="I464" s="24">
        <f t="shared" si="581"/>
        <v>0</v>
      </c>
      <c r="J464" s="24">
        <f t="shared" si="582"/>
        <v>0</v>
      </c>
      <c r="K464" s="25"/>
      <c r="Z464" s="24">
        <f t="shared" si="583"/>
        <v>0</v>
      </c>
      <c r="AB464" s="24">
        <f t="shared" si="584"/>
        <v>0</v>
      </c>
      <c r="AC464" s="24">
        <f t="shared" si="585"/>
        <v>0</v>
      </c>
      <c r="AD464" s="24">
        <f t="shared" si="586"/>
        <v>0</v>
      </c>
      <c r="AE464" s="24">
        <f t="shared" si="587"/>
        <v>0</v>
      </c>
      <c r="AF464" s="24">
        <f t="shared" si="588"/>
        <v>0</v>
      </c>
      <c r="AG464" s="24">
        <f t="shared" si="589"/>
        <v>0</v>
      </c>
      <c r="AH464" s="24">
        <f t="shared" si="590"/>
        <v>0</v>
      </c>
      <c r="AI464" s="10" t="s">
        <v>43</v>
      </c>
      <c r="AJ464" s="24">
        <f t="shared" si="591"/>
        <v>0</v>
      </c>
      <c r="AK464" s="24">
        <f t="shared" si="592"/>
        <v>0</v>
      </c>
      <c r="AL464" s="24">
        <f t="shared" si="593"/>
        <v>0</v>
      </c>
      <c r="AN464" s="24">
        <v>21</v>
      </c>
      <c r="AO464" s="24">
        <f t="shared" si="602"/>
        <v>0</v>
      </c>
      <c r="AP464" s="24">
        <f t="shared" si="603"/>
        <v>0</v>
      </c>
      <c r="AQ464" s="26" t="s">
        <v>46</v>
      </c>
      <c r="AV464" s="24">
        <f t="shared" si="594"/>
        <v>0</v>
      </c>
      <c r="AW464" s="24">
        <f t="shared" si="595"/>
        <v>0</v>
      </c>
      <c r="AX464" s="24">
        <f t="shared" si="596"/>
        <v>0</v>
      </c>
      <c r="AY464" s="26" t="s">
        <v>1219</v>
      </c>
      <c r="AZ464" s="26" t="s">
        <v>427</v>
      </c>
      <c r="BA464" s="10" t="s">
        <v>52</v>
      </c>
      <c r="BC464" s="24">
        <f t="shared" si="597"/>
        <v>0</v>
      </c>
      <c r="BD464" s="24">
        <f t="shared" si="598"/>
        <v>0</v>
      </c>
      <c r="BE464" s="24">
        <v>0</v>
      </c>
      <c r="BF464" s="24">
        <f>461</f>
        <v>461</v>
      </c>
      <c r="BH464" s="24">
        <f t="shared" si="599"/>
        <v>0</v>
      </c>
      <c r="BI464" s="24">
        <f t="shared" si="600"/>
        <v>0</v>
      </c>
      <c r="BJ464" s="24">
        <f t="shared" si="601"/>
        <v>0</v>
      </c>
      <c r="BK464" s="26" t="s">
        <v>53</v>
      </c>
      <c r="BL464" s="24"/>
      <c r="BW464" s="24">
        <v>21</v>
      </c>
      <c r="BX464" s="4" t="s">
        <v>1291</v>
      </c>
    </row>
    <row r="465" spans="1:76" ht="14.4" x14ac:dyDescent="0.3">
      <c r="A465" s="2" t="s">
        <v>1292</v>
      </c>
      <c r="B465" s="3" t="s">
        <v>1293</v>
      </c>
      <c r="C465" s="82" t="s">
        <v>1294</v>
      </c>
      <c r="D465" s="81"/>
      <c r="E465" s="3" t="s">
        <v>261</v>
      </c>
      <c r="F465" s="24">
        <v>0.3</v>
      </c>
      <c r="G465" s="180">
        <v>0</v>
      </c>
      <c r="H465" s="24">
        <f t="shared" si="580"/>
        <v>0</v>
      </c>
      <c r="I465" s="24">
        <f t="shared" si="581"/>
        <v>0</v>
      </c>
      <c r="J465" s="24">
        <f t="shared" si="582"/>
        <v>0</v>
      </c>
      <c r="K465" s="25"/>
      <c r="Z465" s="24">
        <f t="shared" si="583"/>
        <v>0</v>
      </c>
      <c r="AB465" s="24">
        <f t="shared" si="584"/>
        <v>0</v>
      </c>
      <c r="AC465" s="24">
        <f t="shared" si="585"/>
        <v>0</v>
      </c>
      <c r="AD465" s="24">
        <f t="shared" si="586"/>
        <v>0</v>
      </c>
      <c r="AE465" s="24">
        <f t="shared" si="587"/>
        <v>0</v>
      </c>
      <c r="AF465" s="24">
        <f t="shared" si="588"/>
        <v>0</v>
      </c>
      <c r="AG465" s="24">
        <f t="shared" si="589"/>
        <v>0</v>
      </c>
      <c r="AH465" s="24">
        <f t="shared" si="590"/>
        <v>0</v>
      </c>
      <c r="AI465" s="10" t="s">
        <v>43</v>
      </c>
      <c r="AJ465" s="24">
        <f t="shared" si="591"/>
        <v>0</v>
      </c>
      <c r="AK465" s="24">
        <f t="shared" si="592"/>
        <v>0</v>
      </c>
      <c r="AL465" s="24">
        <f t="shared" si="593"/>
        <v>0</v>
      </c>
      <c r="AN465" s="24">
        <v>21</v>
      </c>
      <c r="AO465" s="24">
        <f t="shared" si="602"/>
        <v>0</v>
      </c>
      <c r="AP465" s="24">
        <f t="shared" si="603"/>
        <v>0</v>
      </c>
      <c r="AQ465" s="26" t="s">
        <v>46</v>
      </c>
      <c r="AV465" s="24">
        <f t="shared" si="594"/>
        <v>0</v>
      </c>
      <c r="AW465" s="24">
        <f t="shared" si="595"/>
        <v>0</v>
      </c>
      <c r="AX465" s="24">
        <f t="shared" si="596"/>
        <v>0</v>
      </c>
      <c r="AY465" s="26" t="s">
        <v>1219</v>
      </c>
      <c r="AZ465" s="26" t="s">
        <v>427</v>
      </c>
      <c r="BA465" s="10" t="s">
        <v>52</v>
      </c>
      <c r="BC465" s="24">
        <f t="shared" si="597"/>
        <v>0</v>
      </c>
      <c r="BD465" s="24">
        <f t="shared" si="598"/>
        <v>0</v>
      </c>
      <c r="BE465" s="24">
        <v>0</v>
      </c>
      <c r="BF465" s="24">
        <f>462</f>
        <v>462</v>
      </c>
      <c r="BH465" s="24">
        <f t="shared" si="599"/>
        <v>0</v>
      </c>
      <c r="BI465" s="24">
        <f t="shared" si="600"/>
        <v>0</v>
      </c>
      <c r="BJ465" s="24">
        <f t="shared" si="601"/>
        <v>0</v>
      </c>
      <c r="BK465" s="26" t="s">
        <v>53</v>
      </c>
      <c r="BL465" s="24"/>
      <c r="BW465" s="24">
        <v>21</v>
      </c>
      <c r="BX465" s="4" t="s">
        <v>1294</v>
      </c>
    </row>
    <row r="466" spans="1:76" ht="14.4" x14ac:dyDescent="0.3">
      <c r="A466" s="2" t="s">
        <v>1295</v>
      </c>
      <c r="B466" s="3" t="s">
        <v>1296</v>
      </c>
      <c r="C466" s="82" t="s">
        <v>1297</v>
      </c>
      <c r="D466" s="81"/>
      <c r="E466" s="3" t="s">
        <v>442</v>
      </c>
      <c r="F466" s="24">
        <v>40</v>
      </c>
      <c r="G466" s="180">
        <v>0</v>
      </c>
      <c r="H466" s="24">
        <f t="shared" si="580"/>
        <v>0</v>
      </c>
      <c r="I466" s="24">
        <f t="shared" si="581"/>
        <v>0</v>
      </c>
      <c r="J466" s="24">
        <f t="shared" si="582"/>
        <v>0</v>
      </c>
      <c r="K466" s="25"/>
      <c r="Z466" s="24">
        <f t="shared" si="583"/>
        <v>0</v>
      </c>
      <c r="AB466" s="24">
        <f t="shared" si="584"/>
        <v>0</v>
      </c>
      <c r="AC466" s="24">
        <f t="shared" si="585"/>
        <v>0</v>
      </c>
      <c r="AD466" s="24">
        <f t="shared" si="586"/>
        <v>0</v>
      </c>
      <c r="AE466" s="24">
        <f t="shared" si="587"/>
        <v>0</v>
      </c>
      <c r="AF466" s="24">
        <f t="shared" si="588"/>
        <v>0</v>
      </c>
      <c r="AG466" s="24">
        <f t="shared" si="589"/>
        <v>0</v>
      </c>
      <c r="AH466" s="24">
        <f t="shared" si="590"/>
        <v>0</v>
      </c>
      <c r="AI466" s="10" t="s">
        <v>43</v>
      </c>
      <c r="AJ466" s="24">
        <f t="shared" si="591"/>
        <v>0</v>
      </c>
      <c r="AK466" s="24">
        <f t="shared" si="592"/>
        <v>0</v>
      </c>
      <c r="AL466" s="24">
        <f t="shared" si="593"/>
        <v>0</v>
      </c>
      <c r="AN466" s="24">
        <v>21</v>
      </c>
      <c r="AO466" s="24">
        <f t="shared" si="602"/>
        <v>0</v>
      </c>
      <c r="AP466" s="24">
        <f t="shared" si="603"/>
        <v>0</v>
      </c>
      <c r="AQ466" s="26" t="s">
        <v>46</v>
      </c>
      <c r="AV466" s="24">
        <f t="shared" si="594"/>
        <v>0</v>
      </c>
      <c r="AW466" s="24">
        <f t="shared" si="595"/>
        <v>0</v>
      </c>
      <c r="AX466" s="24">
        <f t="shared" si="596"/>
        <v>0</v>
      </c>
      <c r="AY466" s="26" t="s">
        <v>1219</v>
      </c>
      <c r="AZ466" s="26" t="s">
        <v>427</v>
      </c>
      <c r="BA466" s="10" t="s">
        <v>52</v>
      </c>
      <c r="BC466" s="24">
        <f t="shared" si="597"/>
        <v>0</v>
      </c>
      <c r="BD466" s="24">
        <f t="shared" si="598"/>
        <v>0</v>
      </c>
      <c r="BE466" s="24">
        <v>0</v>
      </c>
      <c r="BF466" s="24">
        <f>463</f>
        <v>463</v>
      </c>
      <c r="BH466" s="24">
        <f t="shared" si="599"/>
        <v>0</v>
      </c>
      <c r="BI466" s="24">
        <f t="shared" si="600"/>
        <v>0</v>
      </c>
      <c r="BJ466" s="24">
        <f t="shared" si="601"/>
        <v>0</v>
      </c>
      <c r="BK466" s="26" t="s">
        <v>53</v>
      </c>
      <c r="BL466" s="24"/>
      <c r="BW466" s="24">
        <v>21</v>
      </c>
      <c r="BX466" s="4" t="s">
        <v>1297</v>
      </c>
    </row>
    <row r="467" spans="1:76" ht="14.4" x14ac:dyDescent="0.3">
      <c r="A467" s="2" t="s">
        <v>1298</v>
      </c>
      <c r="B467" s="3" t="s">
        <v>1299</v>
      </c>
      <c r="C467" s="82" t="s">
        <v>1300</v>
      </c>
      <c r="D467" s="81"/>
      <c r="E467" s="3" t="s">
        <v>1039</v>
      </c>
      <c r="F467" s="24">
        <v>32</v>
      </c>
      <c r="G467" s="180">
        <v>0</v>
      </c>
      <c r="H467" s="24">
        <f t="shared" si="580"/>
        <v>0</v>
      </c>
      <c r="I467" s="24">
        <f t="shared" si="581"/>
        <v>0</v>
      </c>
      <c r="J467" s="24">
        <f t="shared" si="582"/>
        <v>0</v>
      </c>
      <c r="K467" s="25"/>
      <c r="Z467" s="24">
        <f t="shared" si="583"/>
        <v>0</v>
      </c>
      <c r="AB467" s="24">
        <f t="shared" si="584"/>
        <v>0</v>
      </c>
      <c r="AC467" s="24">
        <f t="shared" si="585"/>
        <v>0</v>
      </c>
      <c r="AD467" s="24">
        <f t="shared" si="586"/>
        <v>0</v>
      </c>
      <c r="AE467" s="24">
        <f t="shared" si="587"/>
        <v>0</v>
      </c>
      <c r="AF467" s="24">
        <f t="shared" si="588"/>
        <v>0</v>
      </c>
      <c r="AG467" s="24">
        <f t="shared" si="589"/>
        <v>0</v>
      </c>
      <c r="AH467" s="24">
        <f t="shared" si="590"/>
        <v>0</v>
      </c>
      <c r="AI467" s="10" t="s">
        <v>43</v>
      </c>
      <c r="AJ467" s="24">
        <f t="shared" si="591"/>
        <v>0</v>
      </c>
      <c r="AK467" s="24">
        <f t="shared" si="592"/>
        <v>0</v>
      </c>
      <c r="AL467" s="24">
        <f t="shared" si="593"/>
        <v>0</v>
      </c>
      <c r="AN467" s="24">
        <v>21</v>
      </c>
      <c r="AO467" s="24">
        <f t="shared" si="602"/>
        <v>0</v>
      </c>
      <c r="AP467" s="24">
        <f t="shared" si="603"/>
        <v>0</v>
      </c>
      <c r="AQ467" s="26" t="s">
        <v>46</v>
      </c>
      <c r="AV467" s="24">
        <f t="shared" si="594"/>
        <v>0</v>
      </c>
      <c r="AW467" s="24">
        <f t="shared" si="595"/>
        <v>0</v>
      </c>
      <c r="AX467" s="24">
        <f t="shared" si="596"/>
        <v>0</v>
      </c>
      <c r="AY467" s="26" t="s">
        <v>1219</v>
      </c>
      <c r="AZ467" s="26" t="s">
        <v>427</v>
      </c>
      <c r="BA467" s="10" t="s">
        <v>52</v>
      </c>
      <c r="BC467" s="24">
        <f t="shared" si="597"/>
        <v>0</v>
      </c>
      <c r="BD467" s="24">
        <f t="shared" si="598"/>
        <v>0</v>
      </c>
      <c r="BE467" s="24">
        <v>0</v>
      </c>
      <c r="BF467" s="24">
        <f>464</f>
        <v>464</v>
      </c>
      <c r="BH467" s="24">
        <f t="shared" si="599"/>
        <v>0</v>
      </c>
      <c r="BI467" s="24">
        <f t="shared" si="600"/>
        <v>0</v>
      </c>
      <c r="BJ467" s="24">
        <f t="shared" si="601"/>
        <v>0</v>
      </c>
      <c r="BK467" s="26" t="s">
        <v>53</v>
      </c>
      <c r="BL467" s="24"/>
      <c r="BW467" s="24">
        <v>21</v>
      </c>
      <c r="BX467" s="4" t="s">
        <v>1300</v>
      </c>
    </row>
    <row r="468" spans="1:76" ht="14.4" x14ac:dyDescent="0.3">
      <c r="A468" s="2" t="s">
        <v>1301</v>
      </c>
      <c r="B468" s="3" t="s">
        <v>1302</v>
      </c>
      <c r="C468" s="82" t="s">
        <v>1303</v>
      </c>
      <c r="D468" s="81"/>
      <c r="E468" s="3" t="s">
        <v>1039</v>
      </c>
      <c r="F468" s="24">
        <v>12</v>
      </c>
      <c r="G468" s="180">
        <v>0</v>
      </c>
      <c r="H468" s="24">
        <f t="shared" si="580"/>
        <v>0</v>
      </c>
      <c r="I468" s="24">
        <f t="shared" si="581"/>
        <v>0</v>
      </c>
      <c r="J468" s="24">
        <f t="shared" si="582"/>
        <v>0</v>
      </c>
      <c r="K468" s="25"/>
      <c r="Z468" s="24">
        <f t="shared" si="583"/>
        <v>0</v>
      </c>
      <c r="AB468" s="24">
        <f t="shared" si="584"/>
        <v>0</v>
      </c>
      <c r="AC468" s="24">
        <f t="shared" si="585"/>
        <v>0</v>
      </c>
      <c r="AD468" s="24">
        <f t="shared" si="586"/>
        <v>0</v>
      </c>
      <c r="AE468" s="24">
        <f t="shared" si="587"/>
        <v>0</v>
      </c>
      <c r="AF468" s="24">
        <f t="shared" si="588"/>
        <v>0</v>
      </c>
      <c r="AG468" s="24">
        <f t="shared" si="589"/>
        <v>0</v>
      </c>
      <c r="AH468" s="24">
        <f t="shared" si="590"/>
        <v>0</v>
      </c>
      <c r="AI468" s="10" t="s">
        <v>43</v>
      </c>
      <c r="AJ468" s="24">
        <f t="shared" si="591"/>
        <v>0</v>
      </c>
      <c r="AK468" s="24">
        <f t="shared" si="592"/>
        <v>0</v>
      </c>
      <c r="AL468" s="24">
        <f t="shared" si="593"/>
        <v>0</v>
      </c>
      <c r="AN468" s="24">
        <v>21</v>
      </c>
      <c r="AO468" s="24">
        <f t="shared" si="602"/>
        <v>0</v>
      </c>
      <c r="AP468" s="24">
        <f t="shared" si="603"/>
        <v>0</v>
      </c>
      <c r="AQ468" s="26" t="s">
        <v>46</v>
      </c>
      <c r="AV468" s="24">
        <f t="shared" si="594"/>
        <v>0</v>
      </c>
      <c r="AW468" s="24">
        <f t="shared" si="595"/>
        <v>0</v>
      </c>
      <c r="AX468" s="24">
        <f t="shared" si="596"/>
        <v>0</v>
      </c>
      <c r="AY468" s="26" t="s">
        <v>1219</v>
      </c>
      <c r="AZ468" s="26" t="s">
        <v>427</v>
      </c>
      <c r="BA468" s="10" t="s">
        <v>52</v>
      </c>
      <c r="BC468" s="24">
        <f t="shared" si="597"/>
        <v>0</v>
      </c>
      <c r="BD468" s="24">
        <f t="shared" si="598"/>
        <v>0</v>
      </c>
      <c r="BE468" s="24">
        <v>0</v>
      </c>
      <c r="BF468" s="24">
        <f>465</f>
        <v>465</v>
      </c>
      <c r="BH468" s="24">
        <f t="shared" si="599"/>
        <v>0</v>
      </c>
      <c r="BI468" s="24">
        <f t="shared" si="600"/>
        <v>0</v>
      </c>
      <c r="BJ468" s="24">
        <f t="shared" si="601"/>
        <v>0</v>
      </c>
      <c r="BK468" s="26" t="s">
        <v>53</v>
      </c>
      <c r="BL468" s="24"/>
      <c r="BW468" s="24">
        <v>21</v>
      </c>
      <c r="BX468" s="4" t="s">
        <v>1303</v>
      </c>
    </row>
    <row r="469" spans="1:76" ht="14.4" x14ac:dyDescent="0.3">
      <c r="A469" s="2" t="s">
        <v>1304</v>
      </c>
      <c r="B469" s="3" t="s">
        <v>1305</v>
      </c>
      <c r="C469" s="82" t="s">
        <v>1070</v>
      </c>
      <c r="D469" s="81"/>
      <c r="E469" s="3" t="s">
        <v>1039</v>
      </c>
      <c r="F469" s="24">
        <v>40</v>
      </c>
      <c r="G469" s="180">
        <v>0</v>
      </c>
      <c r="H469" s="24">
        <f t="shared" si="580"/>
        <v>0</v>
      </c>
      <c r="I469" s="24">
        <f t="shared" si="581"/>
        <v>0</v>
      </c>
      <c r="J469" s="24">
        <f t="shared" si="582"/>
        <v>0</v>
      </c>
      <c r="K469" s="25"/>
      <c r="Z469" s="24">
        <f t="shared" si="583"/>
        <v>0</v>
      </c>
      <c r="AB469" s="24">
        <f t="shared" si="584"/>
        <v>0</v>
      </c>
      <c r="AC469" s="24">
        <f t="shared" si="585"/>
        <v>0</v>
      </c>
      <c r="AD469" s="24">
        <f t="shared" si="586"/>
        <v>0</v>
      </c>
      <c r="AE469" s="24">
        <f t="shared" si="587"/>
        <v>0</v>
      </c>
      <c r="AF469" s="24">
        <f t="shared" si="588"/>
        <v>0</v>
      </c>
      <c r="AG469" s="24">
        <f t="shared" si="589"/>
        <v>0</v>
      </c>
      <c r="AH469" s="24">
        <f t="shared" si="590"/>
        <v>0</v>
      </c>
      <c r="AI469" s="10" t="s">
        <v>43</v>
      </c>
      <c r="AJ469" s="24">
        <f t="shared" si="591"/>
        <v>0</v>
      </c>
      <c r="AK469" s="24">
        <f t="shared" si="592"/>
        <v>0</v>
      </c>
      <c r="AL469" s="24">
        <f t="shared" si="593"/>
        <v>0</v>
      </c>
      <c r="AN469" s="24">
        <v>21</v>
      </c>
      <c r="AO469" s="24">
        <f t="shared" si="602"/>
        <v>0</v>
      </c>
      <c r="AP469" s="24">
        <f t="shared" si="603"/>
        <v>0</v>
      </c>
      <c r="AQ469" s="26" t="s">
        <v>46</v>
      </c>
      <c r="AV469" s="24">
        <f t="shared" si="594"/>
        <v>0</v>
      </c>
      <c r="AW469" s="24">
        <f t="shared" si="595"/>
        <v>0</v>
      </c>
      <c r="AX469" s="24">
        <f t="shared" si="596"/>
        <v>0</v>
      </c>
      <c r="AY469" s="26" t="s">
        <v>1219</v>
      </c>
      <c r="AZ469" s="26" t="s">
        <v>427</v>
      </c>
      <c r="BA469" s="10" t="s">
        <v>52</v>
      </c>
      <c r="BC469" s="24">
        <f t="shared" si="597"/>
        <v>0</v>
      </c>
      <c r="BD469" s="24">
        <f t="shared" si="598"/>
        <v>0</v>
      </c>
      <c r="BE469" s="24">
        <v>0</v>
      </c>
      <c r="BF469" s="24">
        <f>466</f>
        <v>466</v>
      </c>
      <c r="BH469" s="24">
        <f t="shared" si="599"/>
        <v>0</v>
      </c>
      <c r="BI469" s="24">
        <f t="shared" si="600"/>
        <v>0</v>
      </c>
      <c r="BJ469" s="24">
        <f t="shared" si="601"/>
        <v>0</v>
      </c>
      <c r="BK469" s="26" t="s">
        <v>53</v>
      </c>
      <c r="BL469" s="24"/>
      <c r="BW469" s="24">
        <v>21</v>
      </c>
      <c r="BX469" s="4" t="s">
        <v>1070</v>
      </c>
    </row>
    <row r="470" spans="1:76" ht="14.4" x14ac:dyDescent="0.3">
      <c r="A470" s="27" t="s">
        <v>43</v>
      </c>
      <c r="B470" s="28" t="s">
        <v>1306</v>
      </c>
      <c r="C470" s="98" t="s">
        <v>1307</v>
      </c>
      <c r="D470" s="99"/>
      <c r="E470" s="29" t="s">
        <v>3</v>
      </c>
      <c r="F470" s="29" t="s">
        <v>3</v>
      </c>
      <c r="G470" s="29" t="s">
        <v>3</v>
      </c>
      <c r="H470" s="1">
        <f>ROUND(SUM(H471:H472),2)</f>
        <v>0</v>
      </c>
      <c r="I470" s="1">
        <f>ROUND(SUM(I471:I472),2)</f>
        <v>0</v>
      </c>
      <c r="J470" s="1">
        <f>ROUND(SUM(J471:J472),2)</f>
        <v>0</v>
      </c>
      <c r="K470" s="30"/>
      <c r="AI470" s="10" t="s">
        <v>43</v>
      </c>
      <c r="AS470" s="1">
        <f>SUM(AJ471:AJ472)</f>
        <v>0</v>
      </c>
      <c r="AT470" s="1">
        <f>SUM(AK471:AK472)</f>
        <v>0</v>
      </c>
      <c r="AU470" s="1">
        <f>SUM(AL471:AL472)</f>
        <v>0</v>
      </c>
    </row>
    <row r="471" spans="1:76" ht="14.4" x14ac:dyDescent="0.3">
      <c r="A471" s="2" t="s">
        <v>1308</v>
      </c>
      <c r="B471" s="3" t="s">
        <v>1309</v>
      </c>
      <c r="C471" s="82" t="s">
        <v>1310</v>
      </c>
      <c r="D471" s="81"/>
      <c r="E471" s="3" t="s">
        <v>215</v>
      </c>
      <c r="F471" s="24">
        <v>1.4999999999999999E-2</v>
      </c>
      <c r="G471" s="180"/>
      <c r="H471" s="24">
        <f>ROUND(F471*AO471,2)</f>
        <v>0</v>
      </c>
      <c r="I471" s="24">
        <f>ROUND(F471*AP471,2)</f>
        <v>0</v>
      </c>
      <c r="J471" s="24">
        <f>ROUND(F471*G471,2)</f>
        <v>0</v>
      </c>
      <c r="K471" s="25"/>
      <c r="Z471" s="24">
        <f>ROUND(IF(AQ471="5",BJ471,0),2)</f>
        <v>0</v>
      </c>
      <c r="AB471" s="24">
        <f>ROUND(IF(AQ471="1",BH471,0),2)</f>
        <v>0</v>
      </c>
      <c r="AC471" s="24">
        <f>ROUND(IF(AQ471="1",BI471,0),2)</f>
        <v>0</v>
      </c>
      <c r="AD471" s="24">
        <f>ROUND(IF(AQ471="7",BH471,0),2)</f>
        <v>0</v>
      </c>
      <c r="AE471" s="24">
        <f>ROUND(IF(AQ471="7",BI471,0),2)</f>
        <v>0</v>
      </c>
      <c r="AF471" s="24">
        <f>ROUND(IF(AQ471="2",BH471,0),2)</f>
        <v>0</v>
      </c>
      <c r="AG471" s="24">
        <f>ROUND(IF(AQ471="2",BI471,0),2)</f>
        <v>0</v>
      </c>
      <c r="AH471" s="24">
        <f>ROUND(IF(AQ471="0",BJ471,0),2)</f>
        <v>0</v>
      </c>
      <c r="AI471" s="10" t="s">
        <v>43</v>
      </c>
      <c r="AJ471" s="24">
        <f>IF(AN471=0,J471,0)</f>
        <v>0</v>
      </c>
      <c r="AK471" s="24">
        <f>IF(AN471=12,J471,0)</f>
        <v>0</v>
      </c>
      <c r="AL471" s="24">
        <f>IF(AN471=21,J471,0)</f>
        <v>0</v>
      </c>
      <c r="AN471" s="24">
        <v>21</v>
      </c>
      <c r="AO471" s="24">
        <f>G471*0.266667104</f>
        <v>0</v>
      </c>
      <c r="AP471" s="24">
        <f>G471*(1-0.266667104)</f>
        <v>0</v>
      </c>
      <c r="AQ471" s="26" t="s">
        <v>46</v>
      </c>
      <c r="AV471" s="24">
        <f>ROUND(AW471+AX471,2)</f>
        <v>0</v>
      </c>
      <c r="AW471" s="24">
        <f>ROUND(F471*AO471,2)</f>
        <v>0</v>
      </c>
      <c r="AX471" s="24">
        <f>ROUND(F471*AP471,2)</f>
        <v>0</v>
      </c>
      <c r="AY471" s="26" t="s">
        <v>1311</v>
      </c>
      <c r="AZ471" s="26" t="s">
        <v>427</v>
      </c>
      <c r="BA471" s="10" t="s">
        <v>52</v>
      </c>
      <c r="BC471" s="24">
        <f>AW471+AX471</f>
        <v>0</v>
      </c>
      <c r="BD471" s="24">
        <f>G471/(100-BE471)*100</f>
        <v>0</v>
      </c>
      <c r="BE471" s="24">
        <v>0</v>
      </c>
      <c r="BF471" s="24">
        <f>468</f>
        <v>468</v>
      </c>
      <c r="BH471" s="24">
        <f>F471*AO471</f>
        <v>0</v>
      </c>
      <c r="BI471" s="24">
        <f>F471*AP471</f>
        <v>0</v>
      </c>
      <c r="BJ471" s="24">
        <f>F471*G471</f>
        <v>0</v>
      </c>
      <c r="BK471" s="26" t="s">
        <v>53</v>
      </c>
      <c r="BL471" s="24"/>
      <c r="BW471" s="24">
        <v>21</v>
      </c>
      <c r="BX471" s="4" t="s">
        <v>1310</v>
      </c>
    </row>
    <row r="472" spans="1:76" ht="14.4" x14ac:dyDescent="0.3">
      <c r="A472" s="31" t="s">
        <v>1312</v>
      </c>
      <c r="B472" s="32" t="s">
        <v>1313</v>
      </c>
      <c r="C472" s="110" t="s">
        <v>1314</v>
      </c>
      <c r="D472" s="111"/>
      <c r="E472" s="32" t="s">
        <v>215</v>
      </c>
      <c r="F472" s="33">
        <v>0.01</v>
      </c>
      <c r="G472" s="181"/>
      <c r="H472" s="33">
        <f>ROUND(F472*AO472,2)</f>
        <v>0</v>
      </c>
      <c r="I472" s="33">
        <f>ROUND(F472*AP472,2)</f>
        <v>0</v>
      </c>
      <c r="J472" s="33">
        <f>ROUND(F472*G472,2)</f>
        <v>0</v>
      </c>
      <c r="K472" s="34"/>
      <c r="Z472" s="24">
        <f>ROUND(IF(AQ472="5",BJ472,0),2)</f>
        <v>0</v>
      </c>
      <c r="AB472" s="24">
        <f>ROUND(IF(AQ472="1",BH472,0),2)</f>
        <v>0</v>
      </c>
      <c r="AC472" s="24">
        <f>ROUND(IF(AQ472="1",BI472,0),2)</f>
        <v>0</v>
      </c>
      <c r="AD472" s="24">
        <f>ROUND(IF(AQ472="7",BH472,0),2)</f>
        <v>0</v>
      </c>
      <c r="AE472" s="24">
        <f>ROUND(IF(AQ472="7",BI472,0),2)</f>
        <v>0</v>
      </c>
      <c r="AF472" s="24">
        <f>ROUND(IF(AQ472="2",BH472,0),2)</f>
        <v>0</v>
      </c>
      <c r="AG472" s="24">
        <f>ROUND(IF(AQ472="2",BI472,0),2)</f>
        <v>0</v>
      </c>
      <c r="AH472" s="24">
        <f>ROUND(IF(AQ472="0",BJ472,0),2)</f>
        <v>0</v>
      </c>
      <c r="AI472" s="10" t="s">
        <v>43</v>
      </c>
      <c r="AJ472" s="24">
        <f>IF(AN472=0,J472,0)</f>
        <v>0</v>
      </c>
      <c r="AK472" s="24">
        <f>IF(AN472=12,J472,0)</f>
        <v>0</v>
      </c>
      <c r="AL472" s="24">
        <f>IF(AN472=21,J472,0)</f>
        <v>0</v>
      </c>
      <c r="AN472" s="24">
        <v>21</v>
      </c>
      <c r="AO472" s="24">
        <f>G472*0.266666503</f>
        <v>0</v>
      </c>
      <c r="AP472" s="24">
        <f>G472*(1-0.266666503)</f>
        <v>0</v>
      </c>
      <c r="AQ472" s="26" t="s">
        <v>46</v>
      </c>
      <c r="AV472" s="24">
        <f>ROUND(AW472+AX472,2)</f>
        <v>0</v>
      </c>
      <c r="AW472" s="24">
        <f>ROUND(F472*AO472,2)</f>
        <v>0</v>
      </c>
      <c r="AX472" s="24">
        <f>ROUND(F472*AP472,2)</f>
        <v>0</v>
      </c>
      <c r="AY472" s="26" t="s">
        <v>1311</v>
      </c>
      <c r="AZ472" s="26" t="s">
        <v>427</v>
      </c>
      <c r="BA472" s="10" t="s">
        <v>52</v>
      </c>
      <c r="BC472" s="24">
        <f>AW472+AX472</f>
        <v>0</v>
      </c>
      <c r="BD472" s="24">
        <f>G472/(100-BE472)*100</f>
        <v>0</v>
      </c>
      <c r="BE472" s="24">
        <v>0</v>
      </c>
      <c r="BF472" s="24">
        <f>469</f>
        <v>469</v>
      </c>
      <c r="BH472" s="24">
        <f>F472*AO472</f>
        <v>0</v>
      </c>
      <c r="BI472" s="24">
        <f>F472*AP472</f>
        <v>0</v>
      </c>
      <c r="BJ472" s="24">
        <f>F472*G472</f>
        <v>0</v>
      </c>
      <c r="BK472" s="26" t="s">
        <v>53</v>
      </c>
      <c r="BL472" s="24"/>
      <c r="BW472" s="24">
        <v>21</v>
      </c>
      <c r="BX472" s="4" t="s">
        <v>1314</v>
      </c>
    </row>
    <row r="473" spans="1:76" ht="14.4" x14ac:dyDescent="0.3">
      <c r="H473" s="109" t="s">
        <v>1315</v>
      </c>
      <c r="I473" s="109"/>
      <c r="J473" s="35">
        <f>ROUND(SUM(J15,J22,J24,J36,J38,J42,J44,J53,J61,J68,J84,J93,J125,J127,J130,J133,J137,J139,J146,J148,J159,J164,J173,J189,J202,J212,J231,J245,J249,J257,J262,J273,J328,J367,J369,J379,J391,J424,J439,J470),2)</f>
        <v>0</v>
      </c>
    </row>
    <row r="474" spans="1:76" ht="14.4" x14ac:dyDescent="0.3">
      <c r="A474" s="36" t="s">
        <v>1316</v>
      </c>
    </row>
    <row r="475" spans="1:76" ht="12.75" customHeight="1" x14ac:dyDescent="0.3">
      <c r="A475" s="82" t="s">
        <v>43</v>
      </c>
      <c r="B475" s="81"/>
      <c r="C475" s="81"/>
      <c r="D475" s="81"/>
      <c r="E475" s="81"/>
      <c r="F475" s="81"/>
      <c r="G475" s="81"/>
      <c r="H475" s="81"/>
      <c r="I475" s="81"/>
      <c r="J475" s="81"/>
      <c r="K475" s="81"/>
    </row>
  </sheetData>
  <sheetProtection algorithmName="SHA-512" hashValue="6C2kVbNhzySRVnNV1eaUaZUY+1hecNOdDUAUoquvtIvRRaHlzvsCdur4HTjL2ueM+rqyrir2JTn6DiF07Tg4zg==" saltValue="DYH68KA2IAqJK5ANTI55Vw==" spinCount="100000" sheet="1" objects="1" scenarios="1"/>
  <mergeCells count="495">
    <mergeCell ref="H473:I473"/>
    <mergeCell ref="A475:K475"/>
    <mergeCell ref="C468:D468"/>
    <mergeCell ref="C469:D469"/>
    <mergeCell ref="C470:D470"/>
    <mergeCell ref="C471:D471"/>
    <mergeCell ref="C472:D472"/>
    <mergeCell ref="C463:D463"/>
    <mergeCell ref="C464:D464"/>
    <mergeCell ref="C465:D465"/>
    <mergeCell ref="C466:D466"/>
    <mergeCell ref="C467:D467"/>
    <mergeCell ref="C458:D458"/>
    <mergeCell ref="C459:D459"/>
    <mergeCell ref="C460:D460"/>
    <mergeCell ref="C461:D461"/>
    <mergeCell ref="C462:D462"/>
    <mergeCell ref="C453:D453"/>
    <mergeCell ref="C454:D454"/>
    <mergeCell ref="C455:D455"/>
    <mergeCell ref="C456:D456"/>
    <mergeCell ref="C457:D457"/>
    <mergeCell ref="C448:D448"/>
    <mergeCell ref="C449:D449"/>
    <mergeCell ref="C450:D450"/>
    <mergeCell ref="C451:D451"/>
    <mergeCell ref="C452:D452"/>
    <mergeCell ref="C443:D443"/>
    <mergeCell ref="C444:D444"/>
    <mergeCell ref="C445:D445"/>
    <mergeCell ref="C446:D446"/>
    <mergeCell ref="C447:D447"/>
    <mergeCell ref="C438:D438"/>
    <mergeCell ref="C439:D439"/>
    <mergeCell ref="C440:D440"/>
    <mergeCell ref="C441:D441"/>
    <mergeCell ref="C442:D442"/>
    <mergeCell ref="C433:D433"/>
    <mergeCell ref="C434:D434"/>
    <mergeCell ref="C435:D435"/>
    <mergeCell ref="C436:D436"/>
    <mergeCell ref="C437:D437"/>
    <mergeCell ref="C428:D428"/>
    <mergeCell ref="C429:D429"/>
    <mergeCell ref="C430:D430"/>
    <mergeCell ref="C431:D431"/>
    <mergeCell ref="C432:D432"/>
    <mergeCell ref="C423:D423"/>
    <mergeCell ref="C424:D424"/>
    <mergeCell ref="C425:D425"/>
    <mergeCell ref="C426:D426"/>
    <mergeCell ref="C427:D427"/>
    <mergeCell ref="C418:D418"/>
    <mergeCell ref="C419:D419"/>
    <mergeCell ref="C420:D420"/>
    <mergeCell ref="C421:D421"/>
    <mergeCell ref="C422:D422"/>
    <mergeCell ref="C413:D413"/>
    <mergeCell ref="C414:D414"/>
    <mergeCell ref="C415:D415"/>
    <mergeCell ref="C416:D416"/>
    <mergeCell ref="C417:D417"/>
    <mergeCell ref="C408:D408"/>
    <mergeCell ref="C409:D409"/>
    <mergeCell ref="C410:D410"/>
    <mergeCell ref="C411:D411"/>
    <mergeCell ref="C412:D412"/>
    <mergeCell ref="C403:D403"/>
    <mergeCell ref="C404:D404"/>
    <mergeCell ref="C405:D405"/>
    <mergeCell ref="C406:D406"/>
    <mergeCell ref="C407:D407"/>
    <mergeCell ref="C398:D398"/>
    <mergeCell ref="C399:D399"/>
    <mergeCell ref="C400:D400"/>
    <mergeCell ref="C401:D401"/>
    <mergeCell ref="C402:D402"/>
    <mergeCell ref="C393:D393"/>
    <mergeCell ref="C394:D394"/>
    <mergeCell ref="C395:D395"/>
    <mergeCell ref="C396:D396"/>
    <mergeCell ref="C397:D397"/>
    <mergeCell ref="C388:D388"/>
    <mergeCell ref="C389:D389"/>
    <mergeCell ref="C390:D390"/>
    <mergeCell ref="C391:D391"/>
    <mergeCell ref="C392:D392"/>
    <mergeCell ref="C383:D383"/>
    <mergeCell ref="C384:D384"/>
    <mergeCell ref="C385:D385"/>
    <mergeCell ref="C386:D386"/>
    <mergeCell ref="C387:D387"/>
    <mergeCell ref="C378:D378"/>
    <mergeCell ref="C379:D379"/>
    <mergeCell ref="C380:D380"/>
    <mergeCell ref="C381:D381"/>
    <mergeCell ref="C382:D382"/>
    <mergeCell ref="C373:D373"/>
    <mergeCell ref="C374:D374"/>
    <mergeCell ref="C375:D375"/>
    <mergeCell ref="C376:D376"/>
    <mergeCell ref="C377:D377"/>
    <mergeCell ref="C368:D368"/>
    <mergeCell ref="C369:D369"/>
    <mergeCell ref="C370:D370"/>
    <mergeCell ref="C371:D371"/>
    <mergeCell ref="C372:D372"/>
    <mergeCell ref="C363:D363"/>
    <mergeCell ref="C364:D364"/>
    <mergeCell ref="C365:D365"/>
    <mergeCell ref="C366:D366"/>
    <mergeCell ref="C367:D367"/>
    <mergeCell ref="C358:D358"/>
    <mergeCell ref="C359:D359"/>
    <mergeCell ref="C360:D360"/>
    <mergeCell ref="C361:D361"/>
    <mergeCell ref="C362:D362"/>
    <mergeCell ref="C353:D353"/>
    <mergeCell ref="C354:D354"/>
    <mergeCell ref="C355:D355"/>
    <mergeCell ref="C356:D356"/>
    <mergeCell ref="C357:D357"/>
    <mergeCell ref="C348:D348"/>
    <mergeCell ref="C349:D349"/>
    <mergeCell ref="C350:D350"/>
    <mergeCell ref="C351:D351"/>
    <mergeCell ref="C352:D352"/>
    <mergeCell ref="C343:D343"/>
    <mergeCell ref="C344:D344"/>
    <mergeCell ref="C345:D345"/>
    <mergeCell ref="C346:D346"/>
    <mergeCell ref="C347:D347"/>
    <mergeCell ref="C338:D338"/>
    <mergeCell ref="C339:D339"/>
    <mergeCell ref="C340:D340"/>
    <mergeCell ref="C341:D341"/>
    <mergeCell ref="C342:D342"/>
    <mergeCell ref="C333:D333"/>
    <mergeCell ref="C334:D334"/>
    <mergeCell ref="C335:D335"/>
    <mergeCell ref="C336:D336"/>
    <mergeCell ref="C337:D337"/>
    <mergeCell ref="C328:D328"/>
    <mergeCell ref="C329:D329"/>
    <mergeCell ref="C330:D330"/>
    <mergeCell ref="C331:D331"/>
    <mergeCell ref="C332:D332"/>
    <mergeCell ref="C323:D323"/>
    <mergeCell ref="C324:D324"/>
    <mergeCell ref="C325:D325"/>
    <mergeCell ref="C326:D326"/>
    <mergeCell ref="C327:D327"/>
    <mergeCell ref="C318:D318"/>
    <mergeCell ref="C319:D319"/>
    <mergeCell ref="C320:D320"/>
    <mergeCell ref="C321:D321"/>
    <mergeCell ref="C322:D322"/>
    <mergeCell ref="C313:D313"/>
    <mergeCell ref="C314:D314"/>
    <mergeCell ref="C315:D315"/>
    <mergeCell ref="C316:D316"/>
    <mergeCell ref="C317:D317"/>
    <mergeCell ref="C308:D308"/>
    <mergeCell ref="C309:D309"/>
    <mergeCell ref="C310:D310"/>
    <mergeCell ref="C311:D311"/>
    <mergeCell ref="C312:D312"/>
    <mergeCell ref="C303:D303"/>
    <mergeCell ref="C304:D304"/>
    <mergeCell ref="C305:D305"/>
    <mergeCell ref="C306:D306"/>
    <mergeCell ref="C307:D307"/>
    <mergeCell ref="C298:D298"/>
    <mergeCell ref="C299:D299"/>
    <mergeCell ref="C300:D300"/>
    <mergeCell ref="C301:D301"/>
    <mergeCell ref="C302:D302"/>
    <mergeCell ref="C293:D293"/>
    <mergeCell ref="C294:D294"/>
    <mergeCell ref="C295:D295"/>
    <mergeCell ref="C296:D296"/>
    <mergeCell ref="C297:D297"/>
    <mergeCell ref="C288:D288"/>
    <mergeCell ref="C289:D289"/>
    <mergeCell ref="C290:D290"/>
    <mergeCell ref="C291:D291"/>
    <mergeCell ref="C292:D292"/>
    <mergeCell ref="C283:D283"/>
    <mergeCell ref="C284:D284"/>
    <mergeCell ref="C285:D285"/>
    <mergeCell ref="C286:D286"/>
    <mergeCell ref="C287:D287"/>
    <mergeCell ref="C278:D278"/>
    <mergeCell ref="C279:D279"/>
    <mergeCell ref="C280:D280"/>
    <mergeCell ref="C281:D281"/>
    <mergeCell ref="C282:D282"/>
    <mergeCell ref="C273:D273"/>
    <mergeCell ref="C274:D274"/>
    <mergeCell ref="C275:D275"/>
    <mergeCell ref="C276:D276"/>
    <mergeCell ref="C277:D277"/>
    <mergeCell ref="C268:D268"/>
    <mergeCell ref="C269:D269"/>
    <mergeCell ref="C270:D270"/>
    <mergeCell ref="C271:D271"/>
    <mergeCell ref="C272:D272"/>
    <mergeCell ref="C263:D263"/>
    <mergeCell ref="C264:D264"/>
    <mergeCell ref="C265:D265"/>
    <mergeCell ref="C266:D266"/>
    <mergeCell ref="C267:D267"/>
    <mergeCell ref="C258:D258"/>
    <mergeCell ref="C259:D259"/>
    <mergeCell ref="C260:D260"/>
    <mergeCell ref="C261:D261"/>
    <mergeCell ref="C262:D262"/>
    <mergeCell ref="C253:D253"/>
    <mergeCell ref="C254:D254"/>
    <mergeCell ref="C255:D255"/>
    <mergeCell ref="C256:D256"/>
    <mergeCell ref="C257:D257"/>
    <mergeCell ref="C248:D248"/>
    <mergeCell ref="C249:D249"/>
    <mergeCell ref="C250:D250"/>
    <mergeCell ref="C251:D251"/>
    <mergeCell ref="C252:D252"/>
    <mergeCell ref="C243:D243"/>
    <mergeCell ref="C244:D244"/>
    <mergeCell ref="C245:D245"/>
    <mergeCell ref="C246:D246"/>
    <mergeCell ref="C247:D247"/>
    <mergeCell ref="C238:D238"/>
    <mergeCell ref="C239:D239"/>
    <mergeCell ref="C240:D240"/>
    <mergeCell ref="C241:D241"/>
    <mergeCell ref="C242:D242"/>
    <mergeCell ref="C233:D233"/>
    <mergeCell ref="C234:D234"/>
    <mergeCell ref="C235:D235"/>
    <mergeCell ref="C236:D236"/>
    <mergeCell ref="C237:D237"/>
    <mergeCell ref="C228:D228"/>
    <mergeCell ref="C229:D229"/>
    <mergeCell ref="C230:D230"/>
    <mergeCell ref="C231:D231"/>
    <mergeCell ref="C232:D232"/>
    <mergeCell ref="C223:D223"/>
    <mergeCell ref="C224:D224"/>
    <mergeCell ref="C225:D225"/>
    <mergeCell ref="C226:D226"/>
    <mergeCell ref="C227:D227"/>
    <mergeCell ref="C218:D218"/>
    <mergeCell ref="C219:D219"/>
    <mergeCell ref="C220:D220"/>
    <mergeCell ref="C221:D221"/>
    <mergeCell ref="C222:D222"/>
    <mergeCell ref="C213:D213"/>
    <mergeCell ref="C214:D214"/>
    <mergeCell ref="C215:D215"/>
    <mergeCell ref="C216:D216"/>
    <mergeCell ref="C217:D217"/>
    <mergeCell ref="C208:D208"/>
    <mergeCell ref="C209:D209"/>
    <mergeCell ref="C210:D210"/>
    <mergeCell ref="C211:D211"/>
    <mergeCell ref="C212:D212"/>
    <mergeCell ref="C203:D203"/>
    <mergeCell ref="C204:D204"/>
    <mergeCell ref="C205:D205"/>
    <mergeCell ref="C206:D206"/>
    <mergeCell ref="C207:D207"/>
    <mergeCell ref="C198:D198"/>
    <mergeCell ref="C199:D199"/>
    <mergeCell ref="C200:D200"/>
    <mergeCell ref="C201:D201"/>
    <mergeCell ref="C202:D202"/>
    <mergeCell ref="C193:D193"/>
    <mergeCell ref="C194:D194"/>
    <mergeCell ref="C195:D195"/>
    <mergeCell ref="C196:D196"/>
    <mergeCell ref="C197:D197"/>
    <mergeCell ref="C188:D188"/>
    <mergeCell ref="C189:D189"/>
    <mergeCell ref="C190:D190"/>
    <mergeCell ref="C191:D191"/>
    <mergeCell ref="C192:D192"/>
    <mergeCell ref="C183:D183"/>
    <mergeCell ref="C184:D184"/>
    <mergeCell ref="C185:D185"/>
    <mergeCell ref="C186:D186"/>
    <mergeCell ref="C187:D187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63:D163"/>
    <mergeCell ref="C164:D164"/>
    <mergeCell ref="C165:D165"/>
    <mergeCell ref="C166:D166"/>
    <mergeCell ref="C167:D167"/>
    <mergeCell ref="C158:D158"/>
    <mergeCell ref="C159:D159"/>
    <mergeCell ref="C160:D160"/>
    <mergeCell ref="C161:D161"/>
    <mergeCell ref="C162:D162"/>
    <mergeCell ref="C153:D153"/>
    <mergeCell ref="C154:D154"/>
    <mergeCell ref="C155:D155"/>
    <mergeCell ref="C156:D156"/>
    <mergeCell ref="C157:D157"/>
    <mergeCell ref="C148:D148"/>
    <mergeCell ref="C149:D149"/>
    <mergeCell ref="C150:D150"/>
    <mergeCell ref="C151:D151"/>
    <mergeCell ref="C152:D152"/>
    <mergeCell ref="C143:D143"/>
    <mergeCell ref="C144:D144"/>
    <mergeCell ref="C145:D145"/>
    <mergeCell ref="C146:D146"/>
    <mergeCell ref="C147:D147"/>
    <mergeCell ref="C138:D138"/>
    <mergeCell ref="C139:D139"/>
    <mergeCell ref="C140:D140"/>
    <mergeCell ref="C141:D141"/>
    <mergeCell ref="C142:D142"/>
    <mergeCell ref="C133:D133"/>
    <mergeCell ref="C134:D134"/>
    <mergeCell ref="C135:D135"/>
    <mergeCell ref="C136:D136"/>
    <mergeCell ref="C137:D137"/>
    <mergeCell ref="C128:D128"/>
    <mergeCell ref="C129:D129"/>
    <mergeCell ref="C130:D130"/>
    <mergeCell ref="C131:D131"/>
    <mergeCell ref="C132:D132"/>
    <mergeCell ref="C123:D123"/>
    <mergeCell ref="C124:D124"/>
    <mergeCell ref="C125:D125"/>
    <mergeCell ref="C126:D126"/>
    <mergeCell ref="C127:D127"/>
    <mergeCell ref="C118:D118"/>
    <mergeCell ref="C119:D119"/>
    <mergeCell ref="C120:D120"/>
    <mergeCell ref="C121:D121"/>
    <mergeCell ref="C122:D122"/>
    <mergeCell ref="C113:D113"/>
    <mergeCell ref="C114:D114"/>
    <mergeCell ref="C115:D115"/>
    <mergeCell ref="C116:D116"/>
    <mergeCell ref="C117:D117"/>
    <mergeCell ref="C108:D108"/>
    <mergeCell ref="C109:D109"/>
    <mergeCell ref="C110:D110"/>
    <mergeCell ref="C111:D111"/>
    <mergeCell ref="C112:D112"/>
    <mergeCell ref="C103:D103"/>
    <mergeCell ref="C104:D104"/>
    <mergeCell ref="C105:D105"/>
    <mergeCell ref="C106:D106"/>
    <mergeCell ref="C107:D107"/>
    <mergeCell ref="C98:D98"/>
    <mergeCell ref="C99:D99"/>
    <mergeCell ref="C100:D100"/>
    <mergeCell ref="C101:D101"/>
    <mergeCell ref="C102:D102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43:D43"/>
    <mergeCell ref="C44:D44"/>
    <mergeCell ref="C45:D45"/>
    <mergeCell ref="C46:D46"/>
    <mergeCell ref="C47:D47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30:D30"/>
    <mergeCell ref="C31:D31"/>
    <mergeCell ref="C32:D32"/>
    <mergeCell ref="C23:D23"/>
    <mergeCell ref="C24:D24"/>
    <mergeCell ref="C25:D25"/>
    <mergeCell ref="C26:D26"/>
    <mergeCell ref="C27:D27"/>
    <mergeCell ref="C38:D38"/>
    <mergeCell ref="C22:D22"/>
    <mergeCell ref="C14:D14"/>
    <mergeCell ref="H13:J13"/>
    <mergeCell ref="C15:D15"/>
    <mergeCell ref="C16:D16"/>
    <mergeCell ref="C17:D17"/>
    <mergeCell ref="C28:D28"/>
    <mergeCell ref="C29:D29"/>
    <mergeCell ref="C13:D13"/>
    <mergeCell ref="C18:D18"/>
    <mergeCell ref="C19:D19"/>
    <mergeCell ref="C20:D20"/>
    <mergeCell ref="E11:F12"/>
    <mergeCell ref="H5:H6"/>
    <mergeCell ref="H7:H8"/>
    <mergeCell ref="H9:H10"/>
    <mergeCell ref="H11:H12"/>
    <mergeCell ref="C5:D6"/>
    <mergeCell ref="C7:D8"/>
    <mergeCell ref="C9:D10"/>
    <mergeCell ref="C21:D21"/>
    <mergeCell ref="A3:K3"/>
    <mergeCell ref="A1:K1"/>
    <mergeCell ref="A2:K2"/>
    <mergeCell ref="J5:J6"/>
    <mergeCell ref="J7:J8"/>
    <mergeCell ref="J9:J10"/>
    <mergeCell ref="J11:J12"/>
    <mergeCell ref="K5:K6"/>
    <mergeCell ref="K7:K8"/>
    <mergeCell ref="K9:K10"/>
    <mergeCell ref="K11:K12"/>
    <mergeCell ref="C11:D12"/>
    <mergeCell ref="G5:G6"/>
    <mergeCell ref="G7:G8"/>
    <mergeCell ref="G9:G10"/>
    <mergeCell ref="G11:G12"/>
    <mergeCell ref="A4:K4"/>
    <mergeCell ref="A5:B6"/>
    <mergeCell ref="A7:B8"/>
    <mergeCell ref="A9:B10"/>
    <mergeCell ref="A11:B12"/>
    <mergeCell ref="E5:F6"/>
    <mergeCell ref="E7:F8"/>
    <mergeCell ref="E9:F10"/>
  </mergeCells>
  <pageMargins left="0.393999993801117" right="0.393999993801117" top="0.59100002050399802" bottom="0.59100002050399802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59" t="s">
        <v>1361</v>
      </c>
      <c r="B1" s="90"/>
      <c r="C1" s="90"/>
      <c r="D1" s="90"/>
      <c r="E1" s="90"/>
      <c r="F1" s="90"/>
      <c r="G1" s="90"/>
      <c r="H1" s="90"/>
      <c r="I1" s="90"/>
    </row>
    <row r="2" spans="1:9" ht="14.4" x14ac:dyDescent="0.3">
      <c r="A2" s="91" t="s">
        <v>0</v>
      </c>
      <c r="B2" s="88"/>
      <c r="C2" s="95" t="str">
        <f>'Stavební rozpočet'!C5</f>
        <v>Zastřešení atria Slezské univerzity v Opavě</v>
      </c>
      <c r="D2" s="96"/>
      <c r="E2" s="80" t="s">
        <v>4</v>
      </c>
      <c r="F2" s="80">
        <f>'Stavební rozpočet'!I5</f>
        <v>0</v>
      </c>
      <c r="G2" s="88"/>
      <c r="H2" s="80" t="s">
        <v>1318</v>
      </c>
      <c r="I2" s="113" t="s">
        <v>43</v>
      </c>
    </row>
    <row r="3" spans="1:9" ht="15" customHeight="1" x14ac:dyDescent="0.3">
      <c r="A3" s="92"/>
      <c r="B3" s="81"/>
      <c r="C3" s="97"/>
      <c r="D3" s="97"/>
      <c r="E3" s="81"/>
      <c r="F3" s="81"/>
      <c r="G3" s="81"/>
      <c r="H3" s="81"/>
      <c r="I3" s="114"/>
    </row>
    <row r="4" spans="1:9" ht="14.4" x14ac:dyDescent="0.3">
      <c r="A4" s="93" t="s">
        <v>5</v>
      </c>
      <c r="B4" s="81"/>
      <c r="C4" s="82" t="str">
        <f>'Stavební rozpočet'!C7</f>
        <v>Stavební část a profese</v>
      </c>
      <c r="D4" s="81"/>
      <c r="E4" s="82" t="s">
        <v>8</v>
      </c>
      <c r="F4" s="82">
        <f>'Stavební rozpočet'!I7</f>
        <v>0</v>
      </c>
      <c r="G4" s="81"/>
      <c r="H4" s="82" t="s">
        <v>1318</v>
      </c>
      <c r="I4" s="114" t="s">
        <v>43</v>
      </c>
    </row>
    <row r="5" spans="1:9" ht="15" customHeight="1" x14ac:dyDescent="0.3">
      <c r="A5" s="92"/>
      <c r="B5" s="81"/>
      <c r="C5" s="81"/>
      <c r="D5" s="81"/>
      <c r="E5" s="81"/>
      <c r="F5" s="81"/>
      <c r="G5" s="81"/>
      <c r="H5" s="81"/>
      <c r="I5" s="114"/>
    </row>
    <row r="6" spans="1:9" ht="14.4" x14ac:dyDescent="0.3">
      <c r="A6" s="93" t="s">
        <v>9</v>
      </c>
      <c r="B6" s="81"/>
      <c r="C6" s="82" t="str">
        <f>'Stavební rozpočet'!C9</f>
        <v>Bezručovo náměstí 14, Opava, 746 01</v>
      </c>
      <c r="D6" s="81"/>
      <c r="E6" s="82" t="s">
        <v>12</v>
      </c>
      <c r="F6" s="82">
        <f>'Stavební rozpočet'!I9</f>
        <v>0</v>
      </c>
      <c r="G6" s="81"/>
      <c r="H6" s="82" t="s">
        <v>1318</v>
      </c>
      <c r="I6" s="114" t="s">
        <v>43</v>
      </c>
    </row>
    <row r="7" spans="1:9" ht="15" customHeight="1" x14ac:dyDescent="0.3">
      <c r="A7" s="92"/>
      <c r="B7" s="81"/>
      <c r="C7" s="81"/>
      <c r="D7" s="81"/>
      <c r="E7" s="81"/>
      <c r="F7" s="81"/>
      <c r="G7" s="81"/>
      <c r="H7" s="81"/>
      <c r="I7" s="114"/>
    </row>
    <row r="8" spans="1:9" ht="14.4" x14ac:dyDescent="0.3">
      <c r="A8" s="93" t="s">
        <v>7</v>
      </c>
      <c r="B8" s="81"/>
      <c r="C8" s="82">
        <f>'Stavební rozpočet'!G7</f>
        <v>0</v>
      </c>
      <c r="D8" s="81"/>
      <c r="E8" s="82" t="s">
        <v>11</v>
      </c>
      <c r="F8" s="82" t="str">
        <f>'Stavební rozpočet'!G9</f>
        <v xml:space="preserve"> </v>
      </c>
      <c r="G8" s="81"/>
      <c r="H8" s="81" t="s">
        <v>1319</v>
      </c>
      <c r="I8" s="116">
        <v>418</v>
      </c>
    </row>
    <row r="9" spans="1:9" ht="14.4" x14ac:dyDescent="0.3">
      <c r="A9" s="92"/>
      <c r="B9" s="81"/>
      <c r="C9" s="81"/>
      <c r="D9" s="81"/>
      <c r="E9" s="81"/>
      <c r="F9" s="81"/>
      <c r="G9" s="81"/>
      <c r="H9" s="81"/>
      <c r="I9" s="114"/>
    </row>
    <row r="10" spans="1:9" ht="14.4" x14ac:dyDescent="0.3">
      <c r="A10" s="93" t="s">
        <v>13</v>
      </c>
      <c r="B10" s="81"/>
      <c r="C10" s="82" t="str">
        <f>'Stavební rozpočet'!C11</f>
        <v xml:space="preserve"> </v>
      </c>
      <c r="D10" s="81"/>
      <c r="E10" s="82" t="s">
        <v>15</v>
      </c>
      <c r="F10" s="82">
        <f>'Stavební rozpočet'!I11</f>
        <v>0</v>
      </c>
      <c r="G10" s="81"/>
      <c r="H10" s="81" t="s">
        <v>1320</v>
      </c>
      <c r="I10" s="117">
        <f>'Stavební rozpočet'!G11</f>
        <v>0</v>
      </c>
    </row>
    <row r="11" spans="1:9" ht="14.4" x14ac:dyDescent="0.3">
      <c r="A11" s="122"/>
      <c r="B11" s="111"/>
      <c r="C11" s="111"/>
      <c r="D11" s="111"/>
      <c r="E11" s="111"/>
      <c r="F11" s="111"/>
      <c r="G11" s="111"/>
      <c r="H11" s="111"/>
      <c r="I11" s="118"/>
    </row>
    <row r="13" spans="1:9" ht="15.6" x14ac:dyDescent="0.3">
      <c r="A13" s="160" t="s">
        <v>1362</v>
      </c>
      <c r="B13" s="160"/>
      <c r="C13" s="160"/>
      <c r="D13" s="160"/>
      <c r="E13" s="160"/>
    </row>
    <row r="14" spans="1:9" ht="14.4" x14ac:dyDescent="0.3">
      <c r="A14" s="161" t="s">
        <v>1363</v>
      </c>
      <c r="B14" s="162"/>
      <c r="C14" s="162"/>
      <c r="D14" s="162"/>
      <c r="E14" s="163"/>
      <c r="F14" s="58" t="s">
        <v>1364</v>
      </c>
      <c r="G14" s="58" t="s">
        <v>215</v>
      </c>
      <c r="H14" s="58" t="s">
        <v>1365</v>
      </c>
      <c r="I14" s="58" t="s">
        <v>1364</v>
      </c>
    </row>
    <row r="15" spans="1:9" ht="14.4" x14ac:dyDescent="0.3">
      <c r="A15" s="164" t="s">
        <v>1330</v>
      </c>
      <c r="B15" s="165"/>
      <c r="C15" s="165"/>
      <c r="D15" s="165"/>
      <c r="E15" s="166"/>
      <c r="F15" s="59">
        <v>0</v>
      </c>
      <c r="G15" s="60" t="s">
        <v>43</v>
      </c>
      <c r="H15" s="60" t="s">
        <v>43</v>
      </c>
      <c r="I15" s="59">
        <f>F15</f>
        <v>0</v>
      </c>
    </row>
    <row r="16" spans="1:9" ht="14.4" x14ac:dyDescent="0.3">
      <c r="A16" s="164" t="s">
        <v>1332</v>
      </c>
      <c r="B16" s="165"/>
      <c r="C16" s="165"/>
      <c r="D16" s="165"/>
      <c r="E16" s="166"/>
      <c r="F16" s="59">
        <v>0</v>
      </c>
      <c r="G16" s="60" t="s">
        <v>43</v>
      </c>
      <c r="H16" s="60" t="s">
        <v>43</v>
      </c>
      <c r="I16" s="59">
        <f>F16</f>
        <v>0</v>
      </c>
    </row>
    <row r="17" spans="1:9" ht="14.4" x14ac:dyDescent="0.3">
      <c r="A17" s="167" t="s">
        <v>1335</v>
      </c>
      <c r="B17" s="158"/>
      <c r="C17" s="158"/>
      <c r="D17" s="158"/>
      <c r="E17" s="168"/>
      <c r="F17" s="62">
        <v>0</v>
      </c>
      <c r="G17" s="63" t="s">
        <v>43</v>
      </c>
      <c r="H17" s="63" t="s">
        <v>43</v>
      </c>
      <c r="I17" s="62">
        <f>F17</f>
        <v>0</v>
      </c>
    </row>
    <row r="18" spans="1:9" ht="14.4" x14ac:dyDescent="0.3">
      <c r="A18" s="169" t="s">
        <v>1366</v>
      </c>
      <c r="B18" s="170"/>
      <c r="C18" s="170"/>
      <c r="D18" s="170"/>
      <c r="E18" s="171"/>
      <c r="F18" s="64" t="s">
        <v>43</v>
      </c>
      <c r="G18" s="65" t="s">
        <v>43</v>
      </c>
      <c r="H18" s="65" t="s">
        <v>43</v>
      </c>
      <c r="I18" s="66">
        <f>SUM(I15:I17)</f>
        <v>0</v>
      </c>
    </row>
    <row r="20" spans="1:9" ht="14.4" x14ac:dyDescent="0.3">
      <c r="A20" s="161" t="s">
        <v>1327</v>
      </c>
      <c r="B20" s="162"/>
      <c r="C20" s="162"/>
      <c r="D20" s="162"/>
      <c r="E20" s="163"/>
      <c r="F20" s="58" t="s">
        <v>1364</v>
      </c>
      <c r="G20" s="58" t="s">
        <v>215</v>
      </c>
      <c r="H20" s="58" t="s">
        <v>1365</v>
      </c>
      <c r="I20" s="58" t="s">
        <v>1364</v>
      </c>
    </row>
    <row r="21" spans="1:9" ht="14.4" x14ac:dyDescent="0.3">
      <c r="A21" s="164" t="s">
        <v>1331</v>
      </c>
      <c r="B21" s="165"/>
      <c r="C21" s="165"/>
      <c r="D21" s="165"/>
      <c r="E21" s="166"/>
      <c r="F21" s="59">
        <v>0</v>
      </c>
      <c r="G21" s="60" t="s">
        <v>43</v>
      </c>
      <c r="H21" s="60" t="s">
        <v>43</v>
      </c>
      <c r="I21" s="59">
        <f t="shared" ref="I21:I26" si="0">F21</f>
        <v>0</v>
      </c>
    </row>
    <row r="22" spans="1:9" ht="14.4" x14ac:dyDescent="0.3">
      <c r="A22" s="164" t="s">
        <v>1333</v>
      </c>
      <c r="B22" s="165"/>
      <c r="C22" s="165"/>
      <c r="D22" s="165"/>
      <c r="E22" s="166"/>
      <c r="F22" s="59">
        <v>0</v>
      </c>
      <c r="G22" s="60" t="s">
        <v>43</v>
      </c>
      <c r="H22" s="60" t="s">
        <v>43</v>
      </c>
      <c r="I22" s="59">
        <f t="shared" si="0"/>
        <v>0</v>
      </c>
    </row>
    <row r="23" spans="1:9" ht="14.4" x14ac:dyDescent="0.3">
      <c r="A23" s="164" t="s">
        <v>1336</v>
      </c>
      <c r="B23" s="165"/>
      <c r="C23" s="165"/>
      <c r="D23" s="165"/>
      <c r="E23" s="166"/>
      <c r="F23" s="59">
        <v>0</v>
      </c>
      <c r="G23" s="60" t="s">
        <v>43</v>
      </c>
      <c r="H23" s="60" t="s">
        <v>43</v>
      </c>
      <c r="I23" s="59">
        <f t="shared" si="0"/>
        <v>0</v>
      </c>
    </row>
    <row r="24" spans="1:9" ht="14.4" x14ac:dyDescent="0.3">
      <c r="A24" s="164" t="s">
        <v>1337</v>
      </c>
      <c r="B24" s="165"/>
      <c r="C24" s="165"/>
      <c r="D24" s="165"/>
      <c r="E24" s="166"/>
      <c r="F24" s="59">
        <v>0</v>
      </c>
      <c r="G24" s="60" t="s">
        <v>43</v>
      </c>
      <c r="H24" s="60" t="s">
        <v>43</v>
      </c>
      <c r="I24" s="59">
        <f t="shared" si="0"/>
        <v>0</v>
      </c>
    </row>
    <row r="25" spans="1:9" ht="14.4" x14ac:dyDescent="0.3">
      <c r="A25" s="164" t="s">
        <v>1339</v>
      </c>
      <c r="B25" s="165"/>
      <c r="C25" s="165"/>
      <c r="D25" s="165"/>
      <c r="E25" s="166"/>
      <c r="F25" s="59">
        <v>0</v>
      </c>
      <c r="G25" s="60" t="s">
        <v>43</v>
      </c>
      <c r="H25" s="60" t="s">
        <v>43</v>
      </c>
      <c r="I25" s="59">
        <f t="shared" si="0"/>
        <v>0</v>
      </c>
    </row>
    <row r="26" spans="1:9" ht="14.4" x14ac:dyDescent="0.3">
      <c r="A26" s="167" t="s">
        <v>1340</v>
      </c>
      <c r="B26" s="158"/>
      <c r="C26" s="158"/>
      <c r="D26" s="158"/>
      <c r="E26" s="168"/>
      <c r="F26" s="62">
        <v>0</v>
      </c>
      <c r="G26" s="63" t="s">
        <v>43</v>
      </c>
      <c r="H26" s="63" t="s">
        <v>43</v>
      </c>
      <c r="I26" s="62">
        <f t="shared" si="0"/>
        <v>0</v>
      </c>
    </row>
    <row r="27" spans="1:9" ht="14.4" x14ac:dyDescent="0.3">
      <c r="A27" s="169" t="s">
        <v>1367</v>
      </c>
      <c r="B27" s="170"/>
      <c r="C27" s="170"/>
      <c r="D27" s="170"/>
      <c r="E27" s="171"/>
      <c r="F27" s="64" t="s">
        <v>43</v>
      </c>
      <c r="G27" s="65" t="s">
        <v>43</v>
      </c>
      <c r="H27" s="65" t="s">
        <v>43</v>
      </c>
      <c r="I27" s="66">
        <f>SUM(I21:I26)</f>
        <v>0</v>
      </c>
    </row>
    <row r="29" spans="1:9" ht="15.6" x14ac:dyDescent="0.3">
      <c r="A29" s="172" t="s">
        <v>1368</v>
      </c>
      <c r="B29" s="173"/>
      <c r="C29" s="173"/>
      <c r="D29" s="173"/>
      <c r="E29" s="174"/>
      <c r="F29" s="175">
        <f>I18+I27</f>
        <v>0</v>
      </c>
      <c r="G29" s="176"/>
      <c r="H29" s="176"/>
      <c r="I29" s="177"/>
    </row>
    <row r="33" spans="1:9" ht="15.6" x14ac:dyDescent="0.3">
      <c r="A33" s="160" t="s">
        <v>1369</v>
      </c>
      <c r="B33" s="160"/>
      <c r="C33" s="160"/>
      <c r="D33" s="160"/>
      <c r="E33" s="160"/>
    </row>
    <row r="34" spans="1:9" ht="14.4" x14ac:dyDescent="0.3">
      <c r="A34" s="161" t="s">
        <v>1370</v>
      </c>
      <c r="B34" s="162"/>
      <c r="C34" s="162"/>
      <c r="D34" s="162"/>
      <c r="E34" s="163"/>
      <c r="F34" s="58" t="s">
        <v>1364</v>
      </c>
      <c r="G34" s="58" t="s">
        <v>215</v>
      </c>
      <c r="H34" s="58" t="s">
        <v>1365</v>
      </c>
      <c r="I34" s="58" t="s">
        <v>1364</v>
      </c>
    </row>
    <row r="35" spans="1:9" ht="14.4" x14ac:dyDescent="0.3">
      <c r="A35" s="167" t="s">
        <v>43</v>
      </c>
      <c r="B35" s="158"/>
      <c r="C35" s="158"/>
      <c r="D35" s="158"/>
      <c r="E35" s="168"/>
      <c r="F35" s="62">
        <v>0</v>
      </c>
      <c r="G35" s="63" t="s">
        <v>43</v>
      </c>
      <c r="H35" s="63" t="s">
        <v>43</v>
      </c>
      <c r="I35" s="62">
        <f>F35</f>
        <v>0</v>
      </c>
    </row>
    <row r="36" spans="1:9" ht="14.4" x14ac:dyDescent="0.3">
      <c r="A36" s="169" t="s">
        <v>1371</v>
      </c>
      <c r="B36" s="170"/>
      <c r="C36" s="170"/>
      <c r="D36" s="170"/>
      <c r="E36" s="171"/>
      <c r="F36" s="64" t="s">
        <v>43</v>
      </c>
      <c r="G36" s="65" t="s">
        <v>43</v>
      </c>
      <c r="H36" s="65" t="s">
        <v>43</v>
      </c>
      <c r="I36" s="66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CC70A003438F40BB0B4D0EAF300461" ma:contentTypeVersion="14" ma:contentTypeDescription="Vytvoří nový dokument" ma:contentTypeScope="" ma:versionID="590e133886e60d7650bb60f22cb332b0">
  <xsd:schema xmlns:xsd="http://www.w3.org/2001/XMLSchema" xmlns:xs="http://www.w3.org/2001/XMLSchema" xmlns:p="http://schemas.microsoft.com/office/2006/metadata/properties" xmlns:ns2="7121e18b-0634-4c33-baa3-f3de9a020fe8" xmlns:ns3="2c3c911c-8a77-4291-a0b8-f595f9f41878" targetNamespace="http://schemas.microsoft.com/office/2006/metadata/properties" ma:root="true" ma:fieldsID="98d1590d1839218da5f24f6c20ec9e2d" ns2:_="" ns3:_="">
    <xsd:import namespace="7121e18b-0634-4c33-baa3-f3de9a020fe8"/>
    <xsd:import namespace="2c3c911c-8a77-4291-a0b8-f595f9f41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1e18b-0634-4c33-baa3-f3de9a020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911c-8a77-4291-a0b8-f595f9f4187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9aa7d8d-1596-48b5-93c8-cb03a9e14a2d}" ma:internalName="TaxCatchAll" ma:showField="CatchAllData" ma:web="2c3c911c-8a77-4291-a0b8-f595f9f41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911c-8a77-4291-a0b8-f595f9f41878" xsi:nil="true"/>
    <lcf76f155ced4ddcb4097134ff3c332f xmlns="7121e18b-0634-4c33-baa3-f3de9a020f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2371FF-9B08-419F-9B94-C3FE0FBAE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1e18b-0634-4c33-baa3-f3de9a020fe8"/>
    <ds:schemaRef ds:uri="2c3c911c-8a77-4291-a0b8-f595f9f41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A7242B-3B5E-4E7D-B043-D27813E93C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C19365-BA87-4203-B5AC-6BFEBEDDEB8B}">
  <ds:schemaRefs>
    <ds:schemaRef ds:uri="7121e18b-0634-4c33-baa3-f3de9a020fe8"/>
    <ds:schemaRef ds:uri="2c3c911c-8a77-4291-a0b8-f595f9f41878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Rozpočet - podskupiny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 Roller</cp:lastModifiedBy>
  <dcterms:created xsi:type="dcterms:W3CDTF">2021-06-10T20:06:38Z</dcterms:created>
  <dcterms:modified xsi:type="dcterms:W3CDTF">2026-03-04T14:04:30Z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0x01010043CC70A003438F40BB0B4D0EAF300461</vt:lpwstr>
  </property>
</Properties>
</file>